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swende/Downloads/"/>
    </mc:Choice>
  </mc:AlternateContent>
  <xr:revisionPtr revIDLastSave="0" documentId="13_ncr:1_{BF81F3E2-25EC-584B-8CAF-102454B02D8D}" xr6:coauthVersionLast="47" xr6:coauthVersionMax="47" xr10:uidLastSave="{00000000-0000-0000-0000-000000000000}"/>
  <bookViews>
    <workbookView xWindow="0" yWindow="660" windowWidth="34560" windowHeight="20100" activeTab="7" xr2:uid="{00000000-000D-0000-FFFF-FFFF00000000}"/>
  </bookViews>
  <sheets>
    <sheet name="START HERE" sheetId="1" r:id="rId1"/>
    <sheet name="Organization" sheetId="2" r:id="rId2"/>
    <sheet name="Product" sheetId="3" r:id="rId3"/>
    <sheet name="Infrastructure" sheetId="4" r:id="rId4"/>
    <sheet name="IT Accessibility" sheetId="5" r:id="rId5"/>
    <sheet name="Case-Specific" sheetId="6" r:id="rId6"/>
    <sheet name="AI" sheetId="7" r:id="rId7"/>
    <sheet name="Privacy" sheetId="8" r:id="rId8"/>
    <sheet name="Institution Evaluation" sheetId="9" r:id="rId9"/>
    <sheet name="High-Risk Evaluation" sheetId="10" r:id="rId10"/>
    <sheet name="Privacy Analyst Evaluation" sheetId="11" r:id="rId11"/>
    <sheet name="Analyst Reference" sheetId="12" r:id="rId12"/>
    <sheet name="Questions" sheetId="13" r:id="rId13"/>
    <sheet name="Auto Responses" sheetId="14" r:id="rId14"/>
    <sheet name="(backend scoring)"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3" i="15" l="1"/>
  <c r="D333" i="15"/>
  <c r="B333" i="15"/>
  <c r="A333" i="15"/>
  <c r="C333" i="15" s="1"/>
  <c r="D332" i="15"/>
  <c r="C332" i="15"/>
  <c r="A332" i="15"/>
  <c r="A331" i="15"/>
  <c r="A330" i="15"/>
  <c r="E329" i="15"/>
  <c r="D329" i="15"/>
  <c r="C329" i="15"/>
  <c r="A329" i="15"/>
  <c r="E328" i="15"/>
  <c r="D328" i="15"/>
  <c r="C328" i="15"/>
  <c r="B328" i="15"/>
  <c r="A328" i="15"/>
  <c r="A327" i="15"/>
  <c r="E326" i="15"/>
  <c r="D326" i="15"/>
  <c r="C326" i="15"/>
  <c r="B326" i="15"/>
  <c r="A326" i="15"/>
  <c r="A325" i="15"/>
  <c r="D324" i="15"/>
  <c r="C324" i="15"/>
  <c r="B324" i="15"/>
  <c r="A324" i="15"/>
  <c r="D323" i="15"/>
  <c r="A323" i="15"/>
  <c r="A322" i="15"/>
  <c r="D321" i="15"/>
  <c r="C321" i="15"/>
  <c r="A321" i="15"/>
  <c r="E321" i="15" s="1"/>
  <c r="E320" i="15"/>
  <c r="C320" i="15"/>
  <c r="B320" i="15"/>
  <c r="A320" i="15"/>
  <c r="E319" i="15"/>
  <c r="C319" i="15"/>
  <c r="B319" i="15"/>
  <c r="A319" i="15"/>
  <c r="D319" i="15" s="1"/>
  <c r="C318" i="15"/>
  <c r="A318" i="15"/>
  <c r="E317" i="15"/>
  <c r="D317" i="15"/>
  <c r="A317" i="15"/>
  <c r="C316" i="15"/>
  <c r="B316" i="15"/>
  <c r="A316" i="15"/>
  <c r="E315" i="15"/>
  <c r="D315" i="15"/>
  <c r="C315" i="15"/>
  <c r="A315" i="15"/>
  <c r="B315" i="15" s="1"/>
  <c r="B314" i="15"/>
  <c r="A314" i="15"/>
  <c r="A313" i="15"/>
  <c r="A312" i="15"/>
  <c r="E311" i="15"/>
  <c r="D311" i="15"/>
  <c r="A311" i="15"/>
  <c r="E310" i="15"/>
  <c r="D310" i="15"/>
  <c r="A310" i="15"/>
  <c r="E309" i="15"/>
  <c r="A309" i="15"/>
  <c r="D308" i="15"/>
  <c r="C308" i="15"/>
  <c r="A308" i="15"/>
  <c r="B308" i="15" s="1"/>
  <c r="E307" i="15"/>
  <c r="D307" i="15"/>
  <c r="C307" i="15"/>
  <c r="A307" i="15"/>
  <c r="E306" i="15"/>
  <c r="B306" i="15"/>
  <c r="A306" i="15"/>
  <c r="A305" i="15"/>
  <c r="A304" i="15"/>
  <c r="E303" i="15"/>
  <c r="L303" i="15" s="1"/>
  <c r="B303" i="15"/>
  <c r="A303" i="15"/>
  <c r="E302" i="15"/>
  <c r="D302" i="15"/>
  <c r="C302" i="15"/>
  <c r="B302" i="15"/>
  <c r="A302" i="15"/>
  <c r="A301" i="15"/>
  <c r="E300" i="15"/>
  <c r="D300" i="15"/>
  <c r="C300" i="15"/>
  <c r="A300" i="15"/>
  <c r="E299" i="15"/>
  <c r="B299" i="15"/>
  <c r="A299" i="15"/>
  <c r="E298" i="15"/>
  <c r="D298" i="15"/>
  <c r="A298" i="15"/>
  <c r="A297" i="15"/>
  <c r="E296" i="15"/>
  <c r="D296" i="15"/>
  <c r="C296" i="15"/>
  <c r="B296" i="15"/>
  <c r="A296" i="15"/>
  <c r="E295" i="15"/>
  <c r="C295" i="15"/>
  <c r="B295" i="15"/>
  <c r="A295" i="15"/>
  <c r="D295" i="15" s="1"/>
  <c r="A294" i="15"/>
  <c r="E293" i="15"/>
  <c r="B293" i="15"/>
  <c r="A293" i="15"/>
  <c r="A292" i="15"/>
  <c r="C291" i="15"/>
  <c r="A291" i="15"/>
  <c r="E290" i="15"/>
  <c r="A290" i="15"/>
  <c r="E289" i="15"/>
  <c r="D289" i="15"/>
  <c r="C289" i="15"/>
  <c r="B289" i="15"/>
  <c r="A289" i="15"/>
  <c r="A288" i="15"/>
  <c r="A287" i="15"/>
  <c r="E286" i="15"/>
  <c r="D286" i="15"/>
  <c r="A286" i="15"/>
  <c r="E285" i="15"/>
  <c r="C285" i="15"/>
  <c r="B285" i="15"/>
  <c r="A285" i="15"/>
  <c r="A284" i="15"/>
  <c r="E283" i="15"/>
  <c r="A283" i="15"/>
  <c r="E282" i="15"/>
  <c r="B282" i="15"/>
  <c r="A282" i="15"/>
  <c r="A281" i="15"/>
  <c r="A280" i="15"/>
  <c r="A279" i="15"/>
  <c r="E278" i="15"/>
  <c r="A278" i="15"/>
  <c r="D278" i="15" s="1"/>
  <c r="D277" i="15"/>
  <c r="C277" i="15"/>
  <c r="B277" i="15"/>
  <c r="A277" i="15"/>
  <c r="E276" i="15"/>
  <c r="D276" i="15"/>
  <c r="C276" i="15"/>
  <c r="B276" i="15"/>
  <c r="A276" i="15"/>
  <c r="E275" i="15"/>
  <c r="D275" i="15"/>
  <c r="A275" i="15"/>
  <c r="E274" i="15"/>
  <c r="D274" i="15"/>
  <c r="C274" i="15"/>
  <c r="B274" i="15"/>
  <c r="A274" i="15"/>
  <c r="E273" i="15"/>
  <c r="D273" i="15"/>
  <c r="C273" i="15"/>
  <c r="A273" i="15"/>
  <c r="A272" i="15"/>
  <c r="E271" i="15"/>
  <c r="D271" i="15"/>
  <c r="C271" i="15"/>
  <c r="A271" i="15"/>
  <c r="E270" i="15"/>
  <c r="D270" i="15"/>
  <c r="C270" i="15"/>
  <c r="A270" i="15"/>
  <c r="B270" i="15" s="1"/>
  <c r="E269" i="15"/>
  <c r="D269" i="15"/>
  <c r="C269" i="15"/>
  <c r="B269" i="15"/>
  <c r="A269" i="15"/>
  <c r="A268" i="15"/>
  <c r="E267" i="15"/>
  <c r="D267" i="15"/>
  <c r="C267" i="15"/>
  <c r="A267" i="15"/>
  <c r="B266" i="15"/>
  <c r="A266" i="15"/>
  <c r="D265" i="15"/>
  <c r="C265" i="15"/>
  <c r="B265" i="15"/>
  <c r="A265" i="15"/>
  <c r="E264" i="15"/>
  <c r="D264" i="15"/>
  <c r="C264" i="15"/>
  <c r="B264" i="15"/>
  <c r="A264" i="15"/>
  <c r="E263" i="15"/>
  <c r="D263" i="15"/>
  <c r="C263" i="15"/>
  <c r="A263" i="15"/>
  <c r="B263" i="15" s="1"/>
  <c r="A262" i="15"/>
  <c r="E261" i="15"/>
  <c r="D261" i="15"/>
  <c r="C261" i="15"/>
  <c r="B261" i="15"/>
  <c r="A261" i="15"/>
  <c r="A260" i="15"/>
  <c r="E259" i="15"/>
  <c r="D259" i="15"/>
  <c r="C259" i="15"/>
  <c r="A259" i="15"/>
  <c r="A258" i="15"/>
  <c r="E257" i="15"/>
  <c r="C257" i="15"/>
  <c r="B257" i="15"/>
  <c r="A257" i="15"/>
  <c r="E256" i="15"/>
  <c r="D256" i="15"/>
  <c r="C256" i="15"/>
  <c r="A256" i="15"/>
  <c r="B256" i="15" s="1"/>
  <c r="E255" i="15"/>
  <c r="D255" i="15"/>
  <c r="C255" i="15"/>
  <c r="B255" i="15"/>
  <c r="A255" i="15"/>
  <c r="E254" i="15"/>
  <c r="D254" i="15"/>
  <c r="C254" i="15"/>
  <c r="B254" i="15"/>
  <c r="A254" i="15"/>
  <c r="A253" i="15"/>
  <c r="E252" i="15"/>
  <c r="D252" i="15"/>
  <c r="C252" i="15"/>
  <c r="A252" i="15"/>
  <c r="D251" i="15"/>
  <c r="C251" i="15"/>
  <c r="A251" i="15"/>
  <c r="E250" i="15"/>
  <c r="C250" i="15"/>
  <c r="B250" i="15"/>
  <c r="A250" i="15"/>
  <c r="A249" i="15"/>
  <c r="E248" i="15"/>
  <c r="L248" i="15" s="1"/>
  <c r="D248" i="15"/>
  <c r="C248" i="15"/>
  <c r="B248" i="15"/>
  <c r="A248" i="15"/>
  <c r="A247" i="15"/>
  <c r="E246" i="15"/>
  <c r="D246" i="15"/>
  <c r="C246" i="15"/>
  <c r="B246" i="15"/>
  <c r="A246" i="15"/>
  <c r="E245" i="15"/>
  <c r="D245" i="15"/>
  <c r="C245" i="15"/>
  <c r="A245" i="15"/>
  <c r="D244" i="15"/>
  <c r="A244" i="15"/>
  <c r="E243" i="15"/>
  <c r="C243" i="15"/>
  <c r="B243" i="15"/>
  <c r="A243" i="15"/>
  <c r="C242" i="15"/>
  <c r="A242" i="15"/>
  <c r="D241" i="15"/>
  <c r="A241" i="15"/>
  <c r="E240" i="15"/>
  <c r="L240" i="15" s="1"/>
  <c r="D240" i="15"/>
  <c r="C240" i="15"/>
  <c r="A240" i="15"/>
  <c r="E239" i="15"/>
  <c r="D239" i="15"/>
  <c r="C239" i="15"/>
  <c r="B239" i="15"/>
  <c r="A239" i="15"/>
  <c r="C238" i="15"/>
  <c r="A238" i="15"/>
  <c r="A237" i="15"/>
  <c r="E236" i="15"/>
  <c r="L236" i="15" s="1"/>
  <c r="D236" i="15"/>
  <c r="A236" i="15"/>
  <c r="C235" i="15"/>
  <c r="A235" i="15"/>
  <c r="E234" i="15"/>
  <c r="D234" i="15"/>
  <c r="C234" i="15"/>
  <c r="B234" i="15"/>
  <c r="A234" i="15"/>
  <c r="A233" i="15"/>
  <c r="E232" i="15"/>
  <c r="D232" i="15"/>
  <c r="C232" i="15"/>
  <c r="A232" i="15"/>
  <c r="D231" i="15"/>
  <c r="C231" i="15"/>
  <c r="B231" i="15"/>
  <c r="A231" i="15"/>
  <c r="A230" i="15"/>
  <c r="A229" i="15"/>
  <c r="E228" i="15"/>
  <c r="D228" i="15"/>
  <c r="A228" i="15"/>
  <c r="E227" i="15"/>
  <c r="L227" i="15" s="1"/>
  <c r="D227" i="15"/>
  <c r="A227" i="15"/>
  <c r="E226" i="15"/>
  <c r="C226" i="15"/>
  <c r="B226" i="15"/>
  <c r="A226" i="15"/>
  <c r="E225" i="15"/>
  <c r="L225" i="15" s="1"/>
  <c r="C225" i="15"/>
  <c r="A225" i="15"/>
  <c r="E224" i="15"/>
  <c r="L224" i="15" s="1"/>
  <c r="A224" i="15"/>
  <c r="E223" i="15"/>
  <c r="D223" i="15"/>
  <c r="C223" i="15"/>
  <c r="B223" i="15"/>
  <c r="A223" i="15"/>
  <c r="C222" i="15"/>
  <c r="B222" i="15"/>
  <c r="A222" i="15"/>
  <c r="E221" i="15"/>
  <c r="A221" i="15"/>
  <c r="E220" i="15"/>
  <c r="D220" i="15"/>
  <c r="C220" i="15"/>
  <c r="B220" i="15"/>
  <c r="A220" i="15"/>
  <c r="E219" i="15"/>
  <c r="D219" i="15"/>
  <c r="C219" i="15"/>
  <c r="B219" i="15"/>
  <c r="A219" i="15"/>
  <c r="E218" i="15"/>
  <c r="D218" i="15"/>
  <c r="C218" i="15"/>
  <c r="B218" i="15"/>
  <c r="A218" i="15"/>
  <c r="E217" i="15"/>
  <c r="D217" i="15"/>
  <c r="B217" i="15"/>
  <c r="A217" i="15"/>
  <c r="C217" i="15" s="1"/>
  <c r="E216" i="15"/>
  <c r="D216" i="15"/>
  <c r="C216" i="15"/>
  <c r="B216" i="15"/>
  <c r="A216" i="15"/>
  <c r="A215" i="15"/>
  <c r="E214" i="15"/>
  <c r="C214" i="15"/>
  <c r="A214" i="15"/>
  <c r="D213" i="15"/>
  <c r="C213" i="15"/>
  <c r="B213" i="15"/>
  <c r="A213" i="15"/>
  <c r="E212" i="15"/>
  <c r="D212" i="15"/>
  <c r="C212" i="15"/>
  <c r="B212" i="15"/>
  <c r="A212" i="15"/>
  <c r="A211" i="15"/>
  <c r="E210" i="15"/>
  <c r="D210" i="15"/>
  <c r="B210" i="15"/>
  <c r="A210" i="15"/>
  <c r="A209" i="15"/>
  <c r="A208" i="15"/>
  <c r="B207" i="15"/>
  <c r="A207" i="15"/>
  <c r="E206" i="15"/>
  <c r="D206" i="15"/>
  <c r="B206" i="15"/>
  <c r="A206" i="15"/>
  <c r="E205" i="15"/>
  <c r="D205" i="15"/>
  <c r="C205" i="15"/>
  <c r="B205" i="15"/>
  <c r="A205" i="15"/>
  <c r="E204" i="15"/>
  <c r="A204" i="15"/>
  <c r="E203" i="15"/>
  <c r="D203" i="15"/>
  <c r="B203" i="15"/>
  <c r="A203" i="15"/>
  <c r="C203" i="15" s="1"/>
  <c r="E202" i="15"/>
  <c r="D202" i="15"/>
  <c r="C202" i="15"/>
  <c r="A202" i="15"/>
  <c r="D201" i="15"/>
  <c r="C201" i="15"/>
  <c r="B201" i="15"/>
  <c r="A201" i="15"/>
  <c r="E200" i="15"/>
  <c r="D200" i="15"/>
  <c r="C200" i="15"/>
  <c r="B200" i="15"/>
  <c r="A200" i="15"/>
  <c r="A199" i="15"/>
  <c r="E198" i="15"/>
  <c r="D198" i="15"/>
  <c r="C198" i="15"/>
  <c r="B198" i="15"/>
  <c r="A198" i="15"/>
  <c r="A197" i="15"/>
  <c r="A196" i="15"/>
  <c r="E195" i="15"/>
  <c r="D195" i="15"/>
  <c r="B195" i="15"/>
  <c r="A195" i="15"/>
  <c r="A194" i="15"/>
  <c r="D193" i="15"/>
  <c r="A193" i="15"/>
  <c r="E192" i="15"/>
  <c r="D192" i="15"/>
  <c r="B192" i="15"/>
  <c r="A192" i="15"/>
  <c r="E191" i="15"/>
  <c r="D191" i="15"/>
  <c r="C191" i="15"/>
  <c r="B191" i="15"/>
  <c r="A191" i="15"/>
  <c r="A190" i="15"/>
  <c r="E189" i="15"/>
  <c r="B189" i="15"/>
  <c r="A189" i="15"/>
  <c r="E188" i="15"/>
  <c r="D188" i="15"/>
  <c r="A188" i="15"/>
  <c r="A187" i="15"/>
  <c r="E186" i="15"/>
  <c r="D186" i="15"/>
  <c r="C186" i="15"/>
  <c r="A186" i="15"/>
  <c r="E185" i="15"/>
  <c r="D185" i="15"/>
  <c r="B185" i="15"/>
  <c r="A185" i="15"/>
  <c r="E184" i="15"/>
  <c r="D184" i="15"/>
  <c r="C184" i="15"/>
  <c r="B184" i="15"/>
  <c r="A184" i="15"/>
  <c r="D183" i="15"/>
  <c r="C183" i="15"/>
  <c r="A183" i="15"/>
  <c r="A182" i="15"/>
  <c r="E181" i="15"/>
  <c r="D181" i="15"/>
  <c r="C181" i="15"/>
  <c r="B181" i="15"/>
  <c r="A181" i="15"/>
  <c r="A180" i="15"/>
  <c r="C179" i="15"/>
  <c r="A179" i="15"/>
  <c r="D178" i="15"/>
  <c r="C178" i="15"/>
  <c r="A178" i="15"/>
  <c r="E177" i="15"/>
  <c r="D177" i="15"/>
  <c r="C177" i="15"/>
  <c r="B177" i="15"/>
  <c r="A177" i="15"/>
  <c r="E176" i="15"/>
  <c r="D176" i="15"/>
  <c r="C176" i="15"/>
  <c r="A176" i="15"/>
  <c r="D175" i="15"/>
  <c r="B175" i="15"/>
  <c r="A175" i="15"/>
  <c r="E174" i="15"/>
  <c r="D174" i="15"/>
  <c r="C174" i="15"/>
  <c r="B174" i="15"/>
  <c r="A174" i="15"/>
  <c r="D173" i="15"/>
  <c r="B173" i="15"/>
  <c r="A173" i="15"/>
  <c r="E172" i="15"/>
  <c r="D172" i="15"/>
  <c r="C172" i="15"/>
  <c r="B172" i="15"/>
  <c r="A172" i="15"/>
  <c r="A171" i="15"/>
  <c r="E170" i="15"/>
  <c r="D170" i="15"/>
  <c r="C170" i="15"/>
  <c r="B170" i="15"/>
  <c r="A170" i="15"/>
  <c r="D169" i="15"/>
  <c r="C169" i="15"/>
  <c r="A169" i="15"/>
  <c r="E168" i="15"/>
  <c r="D168" i="15"/>
  <c r="B168" i="15"/>
  <c r="A168" i="15"/>
  <c r="E167" i="15"/>
  <c r="D167" i="15"/>
  <c r="A167" i="15"/>
  <c r="A166" i="15"/>
  <c r="A165" i="15"/>
  <c r="C164" i="15"/>
  <c r="A164" i="15"/>
  <c r="E163" i="15"/>
  <c r="D163" i="15"/>
  <c r="C163" i="15"/>
  <c r="B163" i="15"/>
  <c r="A163" i="15"/>
  <c r="D162" i="15"/>
  <c r="C162" i="15"/>
  <c r="B162" i="15"/>
  <c r="A162" i="15"/>
  <c r="E161" i="15"/>
  <c r="B161" i="15"/>
  <c r="A161" i="15"/>
  <c r="L160" i="15"/>
  <c r="E160" i="15"/>
  <c r="C160" i="15"/>
  <c r="B160" i="15"/>
  <c r="A160" i="15"/>
  <c r="C159" i="15"/>
  <c r="A159" i="15"/>
  <c r="E158" i="15"/>
  <c r="D158" i="15"/>
  <c r="B158" i="15"/>
  <c r="A158" i="15"/>
  <c r="E157" i="15"/>
  <c r="D157" i="15"/>
  <c r="B157" i="15"/>
  <c r="A157" i="15"/>
  <c r="E156" i="15"/>
  <c r="D156" i="15"/>
  <c r="C156" i="15"/>
  <c r="B156" i="15"/>
  <c r="A156" i="15"/>
  <c r="E155" i="15"/>
  <c r="D155" i="15"/>
  <c r="B155" i="15"/>
  <c r="A155" i="15"/>
  <c r="E154" i="15"/>
  <c r="D154" i="15"/>
  <c r="B154" i="15"/>
  <c r="A154" i="15"/>
  <c r="C154" i="15" s="1"/>
  <c r="D153" i="15"/>
  <c r="A153" i="15"/>
  <c r="D152" i="15"/>
  <c r="C152" i="15"/>
  <c r="A152" i="15"/>
  <c r="E151" i="15"/>
  <c r="D151" i="15"/>
  <c r="C151" i="15"/>
  <c r="B151" i="15"/>
  <c r="A151" i="15"/>
  <c r="A150" i="15"/>
  <c r="E149" i="15"/>
  <c r="D149" i="15"/>
  <c r="C149" i="15"/>
  <c r="B149" i="15"/>
  <c r="A149" i="15"/>
  <c r="B148" i="15"/>
  <c r="A148" i="15"/>
  <c r="E147" i="15"/>
  <c r="D147" i="15"/>
  <c r="B147" i="15"/>
  <c r="A147" i="15"/>
  <c r="E146" i="15"/>
  <c r="C146" i="15"/>
  <c r="A146" i="15"/>
  <c r="C145" i="15"/>
  <c r="A145" i="15"/>
  <c r="B144" i="15"/>
  <c r="A144" i="15"/>
  <c r="E143" i="15"/>
  <c r="D143" i="15"/>
  <c r="B143" i="15"/>
  <c r="A143" i="15"/>
  <c r="E142" i="15"/>
  <c r="D142" i="15"/>
  <c r="C142" i="15"/>
  <c r="B142" i="15"/>
  <c r="A142" i="15"/>
  <c r="E141" i="15"/>
  <c r="D141" i="15"/>
  <c r="B141" i="15"/>
  <c r="A141" i="15"/>
  <c r="B140" i="15"/>
  <c r="A140" i="15"/>
  <c r="C139" i="15"/>
  <c r="B139" i="15"/>
  <c r="A139" i="15"/>
  <c r="A138" i="15"/>
  <c r="E137" i="15"/>
  <c r="D137" i="15"/>
  <c r="C137" i="15"/>
  <c r="B137" i="15"/>
  <c r="A137" i="15"/>
  <c r="E136" i="15"/>
  <c r="D136" i="15"/>
  <c r="C136" i="15"/>
  <c r="B136" i="15"/>
  <c r="A136" i="15"/>
  <c r="E135" i="15"/>
  <c r="D135" i="15"/>
  <c r="B135" i="15"/>
  <c r="A135" i="15"/>
  <c r="C135" i="15" s="1"/>
  <c r="E134" i="15"/>
  <c r="D134" i="15"/>
  <c r="B134" i="15"/>
  <c r="A134" i="15"/>
  <c r="A133" i="15"/>
  <c r="D132" i="15"/>
  <c r="C132" i="15"/>
  <c r="A132" i="15"/>
  <c r="A131" i="15"/>
  <c r="E130" i="15"/>
  <c r="D130" i="15"/>
  <c r="C130" i="15"/>
  <c r="B130" i="15"/>
  <c r="A130" i="15"/>
  <c r="E129" i="15"/>
  <c r="D129" i="15"/>
  <c r="C129" i="15"/>
  <c r="B129" i="15"/>
  <c r="A129" i="15"/>
  <c r="E128" i="15"/>
  <c r="D128" i="15"/>
  <c r="B128" i="15"/>
  <c r="A128" i="15"/>
  <c r="C128" i="15" s="1"/>
  <c r="E127" i="15"/>
  <c r="D127" i="15"/>
  <c r="A127" i="15"/>
  <c r="B126" i="15"/>
  <c r="A126" i="15"/>
  <c r="C125" i="15"/>
  <c r="A125" i="15"/>
  <c r="D124" i="15"/>
  <c r="C124" i="15"/>
  <c r="B124" i="15"/>
  <c r="A124" i="15"/>
  <c r="E123" i="15"/>
  <c r="D123" i="15"/>
  <c r="C123" i="15"/>
  <c r="B123" i="15"/>
  <c r="A123" i="15"/>
  <c r="E122" i="15"/>
  <c r="D122" i="15"/>
  <c r="C122" i="15"/>
  <c r="B122" i="15"/>
  <c r="A122" i="15"/>
  <c r="E121" i="15"/>
  <c r="D121" i="15"/>
  <c r="B121" i="15"/>
  <c r="A121" i="15"/>
  <c r="C121" i="15" s="1"/>
  <c r="E120" i="15"/>
  <c r="D120" i="15"/>
  <c r="A120" i="15"/>
  <c r="D119" i="15"/>
  <c r="A119" i="15"/>
  <c r="C118" i="15"/>
  <c r="A118" i="15"/>
  <c r="D117" i="15"/>
  <c r="C117" i="15"/>
  <c r="A117" i="15"/>
  <c r="E116" i="15"/>
  <c r="D116" i="15"/>
  <c r="C116" i="15"/>
  <c r="B116" i="15"/>
  <c r="A116" i="15"/>
  <c r="E115" i="15"/>
  <c r="D115" i="15"/>
  <c r="C115" i="15"/>
  <c r="B115" i="15"/>
  <c r="A115" i="15"/>
  <c r="E114" i="15"/>
  <c r="D114" i="15"/>
  <c r="B114" i="15"/>
  <c r="A114" i="15"/>
  <c r="C114" i="15" s="1"/>
  <c r="A113" i="15"/>
  <c r="A112" i="15"/>
  <c r="C111" i="15"/>
  <c r="B111" i="15"/>
  <c r="A111" i="15"/>
  <c r="C110" i="15"/>
  <c r="A110" i="15"/>
  <c r="E109" i="15"/>
  <c r="D109" i="15"/>
  <c r="C109" i="15"/>
  <c r="B109" i="15"/>
  <c r="A109" i="15"/>
  <c r="E108" i="15"/>
  <c r="D108" i="15"/>
  <c r="C108" i="15"/>
  <c r="B108" i="15"/>
  <c r="A108" i="15"/>
  <c r="E107" i="15"/>
  <c r="D107" i="15"/>
  <c r="B107" i="15"/>
  <c r="A107" i="15"/>
  <c r="C107" i="15" s="1"/>
  <c r="E106" i="15"/>
  <c r="D106" i="15"/>
  <c r="A106" i="15"/>
  <c r="D105" i="15"/>
  <c r="B105" i="15"/>
  <c r="A105" i="15"/>
  <c r="D104" i="15"/>
  <c r="C104" i="15"/>
  <c r="A104" i="15"/>
  <c r="D103" i="15"/>
  <c r="C103" i="15"/>
  <c r="B103" i="15"/>
  <c r="A103" i="15"/>
  <c r="E102" i="15"/>
  <c r="D102" i="15"/>
  <c r="C102" i="15"/>
  <c r="B102" i="15"/>
  <c r="A102" i="15"/>
  <c r="E101" i="15"/>
  <c r="D101" i="15"/>
  <c r="C101" i="15"/>
  <c r="B101" i="15"/>
  <c r="A101" i="15"/>
  <c r="E100" i="15"/>
  <c r="D100" i="15"/>
  <c r="B100" i="15"/>
  <c r="A100" i="15"/>
  <c r="C100" i="15" s="1"/>
  <c r="D99" i="15"/>
  <c r="B99" i="15"/>
  <c r="A99" i="15"/>
  <c r="A98" i="15"/>
  <c r="A97" i="15"/>
  <c r="B96" i="15"/>
  <c r="A96" i="15"/>
  <c r="E95" i="15"/>
  <c r="D95" i="15"/>
  <c r="C95" i="15"/>
  <c r="B95" i="15"/>
  <c r="A95" i="15"/>
  <c r="E94" i="15"/>
  <c r="D94" i="15"/>
  <c r="C94" i="15"/>
  <c r="B94" i="15"/>
  <c r="A94" i="15"/>
  <c r="D93" i="15"/>
  <c r="B93" i="15"/>
  <c r="A93" i="15"/>
  <c r="A92" i="15"/>
  <c r="B91" i="15"/>
  <c r="A91" i="15"/>
  <c r="D90" i="15"/>
  <c r="C90" i="15"/>
  <c r="B90" i="15"/>
  <c r="A90" i="15"/>
  <c r="C89" i="15"/>
  <c r="A89" i="15"/>
  <c r="E88" i="15"/>
  <c r="D88" i="15"/>
  <c r="C88" i="15"/>
  <c r="B88" i="15"/>
  <c r="A88" i="15"/>
  <c r="D87" i="15"/>
  <c r="B87" i="15"/>
  <c r="A87" i="15"/>
  <c r="E86" i="15"/>
  <c r="D86" i="15"/>
  <c r="B86" i="15"/>
  <c r="A86" i="15"/>
  <c r="C86" i="15" s="1"/>
  <c r="E85" i="15"/>
  <c r="D85" i="15"/>
  <c r="C85" i="15"/>
  <c r="B85" i="15"/>
  <c r="A85" i="15"/>
  <c r="D84" i="15"/>
  <c r="C84" i="15"/>
  <c r="B84" i="15"/>
  <c r="A84" i="15"/>
  <c r="C83" i="15"/>
  <c r="A83" i="15"/>
  <c r="A82" i="15"/>
  <c r="E81" i="15"/>
  <c r="D81" i="15"/>
  <c r="C81" i="15"/>
  <c r="B81" i="15"/>
  <c r="A81" i="15"/>
  <c r="D80" i="15"/>
  <c r="C80" i="15"/>
  <c r="A80" i="15"/>
  <c r="B79" i="15"/>
  <c r="A79" i="15"/>
  <c r="E78" i="15"/>
  <c r="C78" i="15"/>
  <c r="A78" i="15"/>
  <c r="D77" i="15"/>
  <c r="B77" i="15"/>
  <c r="A77" i="15"/>
  <c r="E76" i="15"/>
  <c r="D76" i="15"/>
  <c r="C76" i="15"/>
  <c r="B76" i="15"/>
  <c r="A76" i="15"/>
  <c r="A75" i="15"/>
  <c r="E74" i="15"/>
  <c r="D74" i="15"/>
  <c r="C74" i="15"/>
  <c r="B74" i="15"/>
  <c r="A74" i="15"/>
  <c r="E73" i="15"/>
  <c r="C73" i="15"/>
  <c r="A73" i="15"/>
  <c r="A72" i="15"/>
  <c r="E71" i="15"/>
  <c r="D71" i="15"/>
  <c r="C71" i="15"/>
  <c r="B71" i="15"/>
  <c r="A71" i="15"/>
  <c r="A70" i="15"/>
  <c r="D69" i="15"/>
  <c r="A69" i="15"/>
  <c r="E68" i="15"/>
  <c r="D68" i="15"/>
  <c r="A68" i="15"/>
  <c r="E67" i="15"/>
  <c r="D67" i="15"/>
  <c r="C67" i="15"/>
  <c r="B67" i="15"/>
  <c r="A67" i="15"/>
  <c r="A66" i="15"/>
  <c r="E65" i="15"/>
  <c r="B65" i="15"/>
  <c r="A65" i="15"/>
  <c r="A64" i="15"/>
  <c r="A63" i="15"/>
  <c r="E62" i="15"/>
  <c r="C62" i="15"/>
  <c r="B62" i="15"/>
  <c r="A62" i="15"/>
  <c r="E61" i="15"/>
  <c r="D61" i="15"/>
  <c r="C61" i="15"/>
  <c r="B61" i="15"/>
  <c r="A61" i="15"/>
  <c r="E60" i="15"/>
  <c r="D60" i="15"/>
  <c r="C60" i="15"/>
  <c r="B60" i="15"/>
  <c r="A60" i="15"/>
  <c r="E59" i="15"/>
  <c r="D59" i="15"/>
  <c r="C59" i="15"/>
  <c r="B59" i="15"/>
  <c r="A59" i="15"/>
  <c r="A58" i="15"/>
  <c r="D57" i="15"/>
  <c r="B57" i="15"/>
  <c r="A57" i="15"/>
  <c r="D56" i="15"/>
  <c r="C56" i="15"/>
  <c r="B56" i="15"/>
  <c r="A56" i="15"/>
  <c r="E56" i="15" s="1"/>
  <c r="E55" i="15"/>
  <c r="D55" i="15"/>
  <c r="C55" i="15"/>
  <c r="B55" i="15"/>
  <c r="A55" i="15"/>
  <c r="A54" i="15"/>
  <c r="E53" i="15"/>
  <c r="D53" i="15"/>
  <c r="C53" i="15"/>
  <c r="B53" i="15"/>
  <c r="A53" i="15"/>
  <c r="C52" i="15"/>
  <c r="B52" i="15"/>
  <c r="A52" i="15"/>
  <c r="E51" i="15"/>
  <c r="D51" i="15"/>
  <c r="B51" i="15"/>
  <c r="A51" i="15"/>
  <c r="E50" i="15"/>
  <c r="B50" i="15"/>
  <c r="A50" i="15"/>
  <c r="D49" i="15"/>
  <c r="C49" i="15"/>
  <c r="B49" i="15"/>
  <c r="A49" i="15"/>
  <c r="A48" i="15"/>
  <c r="E47" i="15"/>
  <c r="C47" i="15"/>
  <c r="B47" i="15"/>
  <c r="A47" i="15"/>
  <c r="E46" i="15"/>
  <c r="D46" i="15"/>
  <c r="C46" i="15"/>
  <c r="B46" i="15"/>
  <c r="A46" i="15"/>
  <c r="E45" i="15"/>
  <c r="A45" i="15"/>
  <c r="E44" i="15"/>
  <c r="D44" i="15"/>
  <c r="B44" i="15"/>
  <c r="A44" i="15"/>
  <c r="C44" i="15" s="1"/>
  <c r="D43" i="15"/>
  <c r="A43" i="15"/>
  <c r="A42" i="15"/>
  <c r="E41" i="15"/>
  <c r="D41" i="15"/>
  <c r="C41" i="15"/>
  <c r="B41" i="15"/>
  <c r="A41" i="15"/>
  <c r="E40" i="15"/>
  <c r="D40" i="15"/>
  <c r="B40" i="15"/>
  <c r="A40" i="15"/>
  <c r="B39" i="15"/>
  <c r="A39" i="15"/>
  <c r="A38" i="15"/>
  <c r="D37" i="15"/>
  <c r="B37" i="15"/>
  <c r="A37" i="15"/>
  <c r="E36" i="15"/>
  <c r="L36" i="15" s="1"/>
  <c r="C36" i="15"/>
  <c r="B36" i="15"/>
  <c r="A36" i="15"/>
  <c r="B35" i="15"/>
  <c r="A35" i="15"/>
  <c r="E34" i="15"/>
  <c r="L34" i="15" s="1"/>
  <c r="D34" i="15"/>
  <c r="C34" i="15"/>
  <c r="B34" i="15"/>
  <c r="A34" i="15"/>
  <c r="E33" i="15"/>
  <c r="L33" i="15" s="1"/>
  <c r="D33" i="15"/>
  <c r="A33" i="15"/>
  <c r="D32" i="15"/>
  <c r="B32" i="15"/>
  <c r="A32" i="15"/>
  <c r="C31" i="15"/>
  <c r="A31" i="15"/>
  <c r="A30" i="15"/>
  <c r="E29" i="15"/>
  <c r="C29" i="15"/>
  <c r="B29" i="15"/>
  <c r="A29" i="15"/>
  <c r="B28" i="15"/>
  <c r="A28" i="15"/>
  <c r="E27" i="15"/>
  <c r="D27" i="15"/>
  <c r="C27" i="15"/>
  <c r="B27" i="15"/>
  <c r="A27" i="15"/>
  <c r="E26" i="15"/>
  <c r="D26" i="15"/>
  <c r="B26" i="15"/>
  <c r="A26" i="15"/>
  <c r="E25" i="15"/>
  <c r="D25" i="15"/>
  <c r="B25" i="15"/>
  <c r="A25" i="15"/>
  <c r="D24" i="15"/>
  <c r="C24" i="15"/>
  <c r="A24" i="15"/>
  <c r="D23" i="15"/>
  <c r="B23" i="15"/>
  <c r="A23" i="15"/>
  <c r="B22" i="15"/>
  <c r="A22" i="15"/>
  <c r="D21" i="15"/>
  <c r="C21" i="15"/>
  <c r="B21" i="15"/>
  <c r="A21" i="15"/>
  <c r="E20" i="15"/>
  <c r="O20" i="15" s="1"/>
  <c r="D20" i="15"/>
  <c r="C20" i="15"/>
  <c r="B20" i="15"/>
  <c r="A20" i="15"/>
  <c r="A19" i="15"/>
  <c r="A18" i="15"/>
  <c r="A17" i="15"/>
  <c r="D16" i="15"/>
  <c r="C16" i="15"/>
  <c r="A16" i="15"/>
  <c r="E15" i="15"/>
  <c r="C15" i="15"/>
  <c r="B15" i="15"/>
  <c r="A15" i="15"/>
  <c r="C14" i="15"/>
  <c r="B14" i="15"/>
  <c r="A14" i="15"/>
  <c r="E13" i="15"/>
  <c r="D13" i="15"/>
  <c r="C13" i="15"/>
  <c r="B13" i="15"/>
  <c r="A13" i="15"/>
  <c r="E12" i="15"/>
  <c r="D12" i="15"/>
  <c r="B12" i="15"/>
  <c r="A12" i="15"/>
  <c r="C11" i="15"/>
  <c r="A11" i="15"/>
  <c r="E10" i="15"/>
  <c r="O10" i="15" s="1"/>
  <c r="D10" i="15"/>
  <c r="C10" i="15"/>
  <c r="B10" i="15"/>
  <c r="A10" i="15"/>
  <c r="O9" i="15"/>
  <c r="L9" i="15"/>
  <c r="E9" i="15"/>
  <c r="B9" i="15"/>
  <c r="A9" i="15"/>
  <c r="B8" i="15"/>
  <c r="A8" i="15"/>
  <c r="E7" i="15"/>
  <c r="O7" i="15" s="1"/>
  <c r="D7" i="15"/>
  <c r="C7" i="15"/>
  <c r="B7" i="15"/>
  <c r="A7" i="15"/>
  <c r="E6" i="15"/>
  <c r="O6" i="15" s="1"/>
  <c r="D6" i="15"/>
  <c r="C6" i="15"/>
  <c r="B6" i="15"/>
  <c r="A6" i="15"/>
  <c r="D5" i="15"/>
  <c r="C5" i="15"/>
  <c r="B5" i="15"/>
  <c r="A5" i="15"/>
  <c r="C4" i="15"/>
  <c r="A4" i="15"/>
  <c r="B3" i="15"/>
  <c r="A3" i="15"/>
  <c r="A32" i="14"/>
  <c r="X334" i="13"/>
  <c r="X333" i="13"/>
  <c r="X332" i="13"/>
  <c r="X331" i="13"/>
  <c r="X330" i="13"/>
  <c r="X329" i="13"/>
  <c r="X328" i="13"/>
  <c r="X327" i="13"/>
  <c r="X326" i="13"/>
  <c r="X325" i="13"/>
  <c r="X324" i="13"/>
  <c r="X323" i="13"/>
  <c r="X322" i="13"/>
  <c r="X321" i="13"/>
  <c r="X320" i="13"/>
  <c r="X319" i="13"/>
  <c r="X317" i="13"/>
  <c r="X316" i="13"/>
  <c r="X315" i="13"/>
  <c r="X314" i="13"/>
  <c r="X313" i="13"/>
  <c r="X312" i="13"/>
  <c r="X311" i="13"/>
  <c r="X310" i="13"/>
  <c r="X309" i="13"/>
  <c r="X307" i="13"/>
  <c r="X306" i="13"/>
  <c r="X305" i="13"/>
  <c r="X237" i="13"/>
  <c r="X234" i="13"/>
  <c r="X233" i="13"/>
  <c r="X232" i="13"/>
  <c r="X231" i="13"/>
  <c r="X230" i="13"/>
  <c r="X229" i="13"/>
  <c r="X228" i="13"/>
  <c r="X226" i="13"/>
  <c r="X223" i="13"/>
  <c r="X222" i="13"/>
  <c r="X221" i="13"/>
  <c r="X220" i="13"/>
  <c r="X219" i="13"/>
  <c r="X218" i="13"/>
  <c r="X217" i="13"/>
  <c r="X216" i="13"/>
  <c r="X215" i="13"/>
  <c r="X214" i="13"/>
  <c r="X213" i="13"/>
  <c r="X212" i="13"/>
  <c r="X211" i="13"/>
  <c r="X210" i="13"/>
  <c r="X209" i="13"/>
  <c r="X208" i="13"/>
  <c r="X207" i="13"/>
  <c r="X206" i="13"/>
  <c r="X205" i="13"/>
  <c r="X204" i="13"/>
  <c r="X203" i="13"/>
  <c r="X202" i="13"/>
  <c r="X201" i="13"/>
  <c r="X200" i="13"/>
  <c r="X199" i="13"/>
  <c r="X198" i="13"/>
  <c r="X197" i="13"/>
  <c r="X196" i="13"/>
  <c r="X195" i="13"/>
  <c r="X194" i="13"/>
  <c r="X193" i="13"/>
  <c r="X192" i="13"/>
  <c r="X191" i="13"/>
  <c r="X190" i="13"/>
  <c r="X189" i="13"/>
  <c r="X188" i="13"/>
  <c r="X187" i="13"/>
  <c r="X186" i="13"/>
  <c r="X185" i="13"/>
  <c r="X184" i="13"/>
  <c r="X183" i="13"/>
  <c r="X182" i="13"/>
  <c r="X181" i="13"/>
  <c r="X180" i="13"/>
  <c r="X179" i="13"/>
  <c r="X178" i="13"/>
  <c r="X177" i="13"/>
  <c r="X176" i="13"/>
  <c r="X175" i="13"/>
  <c r="X174" i="13"/>
  <c r="X173" i="13"/>
  <c r="X172" i="13"/>
  <c r="X171" i="13"/>
  <c r="X170" i="13"/>
  <c r="X169" i="13"/>
  <c r="X168" i="13"/>
  <c r="X167" i="13"/>
  <c r="X166" i="13"/>
  <c r="X165" i="13"/>
  <c r="X164" i="13"/>
  <c r="X163" i="13"/>
  <c r="X162" i="13"/>
  <c r="X161" i="13"/>
  <c r="X159" i="13"/>
  <c r="X158" i="13"/>
  <c r="X157" i="13"/>
  <c r="X156" i="13"/>
  <c r="X155" i="13"/>
  <c r="X154" i="13"/>
  <c r="X153" i="13"/>
  <c r="X152" i="13"/>
  <c r="X151" i="13"/>
  <c r="X150" i="13"/>
  <c r="X149" i="13"/>
  <c r="X148" i="13"/>
  <c r="X147" i="13"/>
  <c r="X146" i="13"/>
  <c r="X145" i="13"/>
  <c r="X144" i="13"/>
  <c r="X143" i="13"/>
  <c r="X142" i="13"/>
  <c r="X141" i="13"/>
  <c r="X140" i="13"/>
  <c r="X139" i="13"/>
  <c r="X138" i="13"/>
  <c r="X137" i="13"/>
  <c r="X136" i="13"/>
  <c r="X134" i="13"/>
  <c r="X133" i="13"/>
  <c r="X132" i="13"/>
  <c r="X131" i="13"/>
  <c r="X130" i="13"/>
  <c r="X129" i="13"/>
  <c r="X128" i="13"/>
  <c r="X127" i="13"/>
  <c r="X126" i="13"/>
  <c r="X125" i="13"/>
  <c r="X124" i="13"/>
  <c r="X123" i="13"/>
  <c r="X122" i="13"/>
  <c r="X121" i="13"/>
  <c r="X120" i="13"/>
  <c r="X119" i="13"/>
  <c r="X118" i="13"/>
  <c r="X117" i="13"/>
  <c r="X116" i="13"/>
  <c r="X115" i="13"/>
  <c r="X114" i="13"/>
  <c r="X113" i="13"/>
  <c r="X112" i="13"/>
  <c r="X111" i="13"/>
  <c r="X110" i="13"/>
  <c r="X109" i="13"/>
  <c r="X108" i="13"/>
  <c r="X107" i="13"/>
  <c r="X106" i="13"/>
  <c r="X105" i="13"/>
  <c r="X104" i="13"/>
  <c r="X103" i="13"/>
  <c r="X102" i="13"/>
  <c r="X101" i="13"/>
  <c r="X100" i="13"/>
  <c r="X99" i="13"/>
  <c r="X98" i="13"/>
  <c r="X97" i="13"/>
  <c r="X96" i="13"/>
  <c r="X95" i="13"/>
  <c r="X94" i="13"/>
  <c r="X93" i="13"/>
  <c r="X92" i="13"/>
  <c r="X91" i="13"/>
  <c r="X90" i="13"/>
  <c r="X89" i="13"/>
  <c r="X88" i="13"/>
  <c r="X86" i="13"/>
  <c r="X85" i="13"/>
  <c r="X84" i="13"/>
  <c r="X83" i="13"/>
  <c r="X82" i="13"/>
  <c r="X81" i="13"/>
  <c r="X80" i="13"/>
  <c r="X79" i="13"/>
  <c r="X78" i="13"/>
  <c r="X77" i="13"/>
  <c r="X76" i="13"/>
  <c r="X75" i="13"/>
  <c r="X74" i="13"/>
  <c r="X73" i="13"/>
  <c r="X72" i="13"/>
  <c r="X71" i="13"/>
  <c r="X70" i="13"/>
  <c r="X69" i="13"/>
  <c r="X68" i="13"/>
  <c r="X67" i="13"/>
  <c r="X66" i="13"/>
  <c r="X65" i="13"/>
  <c r="X64" i="13"/>
  <c r="X63" i="13"/>
  <c r="X62" i="13"/>
  <c r="X61" i="13"/>
  <c r="X60" i="13"/>
  <c r="X59" i="13"/>
  <c r="X58" i="13"/>
  <c r="X57" i="13"/>
  <c r="X56" i="13"/>
  <c r="X55" i="13"/>
  <c r="X54" i="13"/>
  <c r="X53" i="13"/>
  <c r="X52" i="13"/>
  <c r="X51" i="13"/>
  <c r="X50" i="13"/>
  <c r="X49" i="13"/>
  <c r="X48" i="13"/>
  <c r="X47" i="13"/>
  <c r="X46" i="13"/>
  <c r="X45" i="13"/>
  <c r="X44" i="13"/>
  <c r="X43" i="13"/>
  <c r="X42" i="13"/>
  <c r="X41" i="13"/>
  <c r="X40" i="13"/>
  <c r="X39" i="13"/>
  <c r="X38" i="13"/>
  <c r="X37" i="13"/>
  <c r="X31" i="13"/>
  <c r="X30" i="13"/>
  <c r="X29" i="13"/>
  <c r="X28" i="13"/>
  <c r="X27" i="13"/>
  <c r="X26" i="13"/>
  <c r="X25" i="13"/>
  <c r="X15" i="13"/>
  <c r="X14" i="13"/>
  <c r="X12" i="13"/>
  <c r="D374" i="12"/>
  <c r="C374" i="12"/>
  <c r="B374" i="12"/>
  <c r="D373" i="12"/>
  <c r="C373" i="12"/>
  <c r="B373" i="12"/>
  <c r="D372" i="12"/>
  <c r="C372" i="12"/>
  <c r="B372" i="12"/>
  <c r="D371" i="12"/>
  <c r="C371" i="12"/>
  <c r="B371" i="12"/>
  <c r="D370" i="12"/>
  <c r="C370" i="12"/>
  <c r="B370" i="12"/>
  <c r="D369" i="12"/>
  <c r="C369" i="12"/>
  <c r="B369" i="12"/>
  <c r="D368" i="12"/>
  <c r="C368" i="12"/>
  <c r="B368" i="12"/>
  <c r="D367" i="12"/>
  <c r="C367" i="12"/>
  <c r="B367" i="12"/>
  <c r="D366" i="12"/>
  <c r="C366" i="12"/>
  <c r="A366" i="12"/>
  <c r="D365" i="12"/>
  <c r="C365" i="12"/>
  <c r="B365" i="12"/>
  <c r="D364" i="12"/>
  <c r="C364" i="12"/>
  <c r="B364" i="12"/>
  <c r="D363" i="12"/>
  <c r="C363" i="12"/>
  <c r="B363" i="12"/>
  <c r="D362" i="12"/>
  <c r="C362" i="12"/>
  <c r="B362" i="12"/>
  <c r="D361" i="12"/>
  <c r="C361" i="12"/>
  <c r="B361" i="12"/>
  <c r="D360" i="12"/>
  <c r="C360" i="12"/>
  <c r="B360" i="12"/>
  <c r="D359" i="12"/>
  <c r="C359" i="12"/>
  <c r="B359" i="12"/>
  <c r="D358" i="12"/>
  <c r="C358" i="12"/>
  <c r="B358" i="12"/>
  <c r="D357" i="12"/>
  <c r="C357" i="12"/>
  <c r="B357" i="12"/>
  <c r="D356" i="12"/>
  <c r="C356" i="12"/>
  <c r="B356" i="12"/>
  <c r="D355" i="12"/>
  <c r="C355" i="12"/>
  <c r="B355" i="12"/>
  <c r="D354" i="12"/>
  <c r="C354" i="12"/>
  <c r="B354" i="12"/>
  <c r="D353" i="12"/>
  <c r="C353" i="12"/>
  <c r="B353" i="12"/>
  <c r="D352" i="12"/>
  <c r="C352" i="12"/>
  <c r="B352" i="12"/>
  <c r="D351" i="12"/>
  <c r="C351" i="12"/>
  <c r="B351" i="12"/>
  <c r="D350" i="12"/>
  <c r="C350" i="12"/>
  <c r="A350" i="12"/>
  <c r="D349" i="12"/>
  <c r="C349" i="12"/>
  <c r="B349" i="12"/>
  <c r="D348" i="12"/>
  <c r="C348" i="12"/>
  <c r="B348" i="12"/>
  <c r="D347" i="12"/>
  <c r="C347" i="12"/>
  <c r="B347" i="12"/>
  <c r="D346" i="12"/>
  <c r="C346" i="12"/>
  <c r="B346" i="12"/>
  <c r="D345" i="12"/>
  <c r="C345" i="12"/>
  <c r="B345" i="12"/>
  <c r="D344" i="12"/>
  <c r="C344" i="12"/>
  <c r="A344" i="12"/>
  <c r="D343" i="12"/>
  <c r="C343" i="12"/>
  <c r="B343" i="12"/>
  <c r="D342" i="12"/>
  <c r="C342" i="12"/>
  <c r="B342" i="12"/>
  <c r="D341" i="12"/>
  <c r="C341" i="12"/>
  <c r="B341" i="12"/>
  <c r="D340" i="12"/>
  <c r="C340" i="12"/>
  <c r="B340" i="12"/>
  <c r="D339" i="12"/>
  <c r="C339" i="12"/>
  <c r="B339" i="12"/>
  <c r="D338" i="12"/>
  <c r="C338" i="12"/>
  <c r="B338" i="12"/>
  <c r="D337" i="12"/>
  <c r="C337" i="12"/>
  <c r="B337" i="12"/>
  <c r="D336" i="12"/>
  <c r="C336" i="12"/>
  <c r="B336" i="12"/>
  <c r="D335" i="12"/>
  <c r="C335" i="12"/>
  <c r="B335" i="12"/>
  <c r="D334" i="12"/>
  <c r="C334" i="12"/>
  <c r="B334" i="12"/>
  <c r="D333" i="12"/>
  <c r="C333" i="12"/>
  <c r="B333" i="12"/>
  <c r="D332" i="12"/>
  <c r="C332" i="12"/>
  <c r="B332" i="12"/>
  <c r="D331" i="12"/>
  <c r="C331" i="12"/>
  <c r="B331" i="12"/>
  <c r="D330" i="12"/>
  <c r="C330" i="12"/>
  <c r="A330" i="12"/>
  <c r="D329" i="12"/>
  <c r="C329" i="12"/>
  <c r="B329" i="12"/>
  <c r="D328" i="12"/>
  <c r="C328" i="12"/>
  <c r="B328" i="12"/>
  <c r="D327" i="12"/>
  <c r="C327" i="12"/>
  <c r="B327" i="12"/>
  <c r="D326" i="12"/>
  <c r="C326" i="12"/>
  <c r="B326" i="12"/>
  <c r="D325" i="12"/>
  <c r="C325" i="12"/>
  <c r="B325" i="12"/>
  <c r="D324" i="12"/>
  <c r="C324" i="12"/>
  <c r="B324" i="12"/>
  <c r="D323" i="12"/>
  <c r="C323" i="12"/>
  <c r="B323" i="12"/>
  <c r="D322" i="12"/>
  <c r="C322" i="12"/>
  <c r="B322" i="12"/>
  <c r="D321" i="12"/>
  <c r="C321" i="12"/>
  <c r="A321" i="12"/>
  <c r="D320" i="12"/>
  <c r="C320" i="12"/>
  <c r="B320" i="12"/>
  <c r="D319" i="12"/>
  <c r="C319" i="12"/>
  <c r="B319" i="12"/>
  <c r="D318" i="12"/>
  <c r="C318" i="12"/>
  <c r="A318" i="12"/>
  <c r="D317" i="12"/>
  <c r="C317" i="12"/>
  <c r="B317" i="12"/>
  <c r="D316" i="12"/>
  <c r="C316" i="12"/>
  <c r="B316" i="12"/>
  <c r="D315" i="12"/>
  <c r="C315" i="12"/>
  <c r="A315" i="12"/>
  <c r="D314" i="12"/>
  <c r="C314" i="12"/>
  <c r="B314" i="12"/>
  <c r="D313" i="12"/>
  <c r="C313" i="12"/>
  <c r="B313" i="12"/>
  <c r="D312" i="12"/>
  <c r="C312" i="12"/>
  <c r="B312" i="12"/>
  <c r="D311" i="12"/>
  <c r="C311" i="12"/>
  <c r="A311" i="12"/>
  <c r="D310" i="12"/>
  <c r="C310" i="12"/>
  <c r="B310" i="12"/>
  <c r="D309" i="12"/>
  <c r="C309" i="12"/>
  <c r="B309" i="12"/>
  <c r="D308" i="12"/>
  <c r="C308" i="12"/>
  <c r="B308" i="12"/>
  <c r="D307" i="12"/>
  <c r="C307" i="12"/>
  <c r="B307" i="12"/>
  <c r="D306" i="12"/>
  <c r="C306" i="12"/>
  <c r="A306" i="12"/>
  <c r="D305" i="12"/>
  <c r="C305" i="12"/>
  <c r="B305" i="12"/>
  <c r="D304" i="12"/>
  <c r="C304" i="12"/>
  <c r="B304" i="12"/>
  <c r="D303" i="12"/>
  <c r="C303" i="12"/>
  <c r="B303" i="12"/>
  <c r="D302" i="12"/>
  <c r="C302" i="12"/>
  <c r="B302" i="12"/>
  <c r="D301" i="12"/>
  <c r="C301" i="12"/>
  <c r="B301" i="12"/>
  <c r="D300" i="12"/>
  <c r="C300" i="12"/>
  <c r="A300" i="12"/>
  <c r="D299" i="12"/>
  <c r="C299" i="12"/>
  <c r="B299" i="12"/>
  <c r="D298" i="12"/>
  <c r="C298" i="12"/>
  <c r="B298" i="12"/>
  <c r="D297" i="12"/>
  <c r="C297" i="12"/>
  <c r="B297" i="12"/>
  <c r="D296" i="12"/>
  <c r="C296" i="12"/>
  <c r="B296" i="12"/>
  <c r="D295" i="12"/>
  <c r="C295" i="12"/>
  <c r="B295" i="12"/>
  <c r="D294" i="12"/>
  <c r="C294" i="12"/>
  <c r="B294" i="12"/>
  <c r="D293" i="12"/>
  <c r="C293" i="12"/>
  <c r="B293" i="12"/>
  <c r="D292" i="12"/>
  <c r="C292" i="12"/>
  <c r="B292" i="12"/>
  <c r="D291" i="12"/>
  <c r="C291" i="12"/>
  <c r="A291" i="12"/>
  <c r="D290" i="12"/>
  <c r="C290" i="12"/>
  <c r="B290" i="12"/>
  <c r="D289" i="12"/>
  <c r="C289" i="12"/>
  <c r="B289" i="12"/>
  <c r="D288" i="12"/>
  <c r="C288" i="12"/>
  <c r="B288" i="12"/>
  <c r="D287" i="12"/>
  <c r="C287" i="12"/>
  <c r="B287" i="12"/>
  <c r="D286" i="12"/>
  <c r="C286" i="12"/>
  <c r="B286" i="12"/>
  <c r="D285" i="12"/>
  <c r="C285" i="12"/>
  <c r="B285" i="12"/>
  <c r="D284" i="12"/>
  <c r="C284" i="12"/>
  <c r="B284" i="12"/>
  <c r="D283" i="12"/>
  <c r="C283" i="12"/>
  <c r="B283" i="12"/>
  <c r="D282" i="12"/>
  <c r="C282" i="12"/>
  <c r="A282" i="12"/>
  <c r="D281" i="12"/>
  <c r="C281" i="12"/>
  <c r="B281" i="12"/>
  <c r="D280" i="12"/>
  <c r="C280" i="12"/>
  <c r="B280" i="12"/>
  <c r="D279" i="12"/>
  <c r="C279" i="12"/>
  <c r="B279" i="12"/>
  <c r="D278" i="12"/>
  <c r="C278" i="12"/>
  <c r="B278" i="12"/>
  <c r="D277" i="12"/>
  <c r="C277" i="12"/>
  <c r="B277" i="12"/>
  <c r="D276" i="12"/>
  <c r="C276" i="12"/>
  <c r="A276" i="12"/>
  <c r="D275" i="12"/>
  <c r="C275" i="12"/>
  <c r="B275" i="12"/>
  <c r="D274" i="12"/>
  <c r="C274" i="12"/>
  <c r="B274" i="12"/>
  <c r="D273" i="12"/>
  <c r="C273" i="12"/>
  <c r="B273" i="12"/>
  <c r="D272" i="12"/>
  <c r="C272" i="12"/>
  <c r="B272" i="12"/>
  <c r="D271" i="12"/>
  <c r="C271" i="12"/>
  <c r="B271" i="12"/>
  <c r="D270" i="12"/>
  <c r="C270" i="12"/>
  <c r="A270" i="12"/>
  <c r="D269" i="12"/>
  <c r="C269" i="12"/>
  <c r="B269" i="12"/>
  <c r="D268" i="12"/>
  <c r="C268" i="12"/>
  <c r="B268" i="12"/>
  <c r="D267" i="12"/>
  <c r="C267" i="12"/>
  <c r="B267" i="12"/>
  <c r="D266" i="12"/>
  <c r="C266" i="12"/>
  <c r="B266" i="12"/>
  <c r="D265" i="12"/>
  <c r="C265" i="12"/>
  <c r="B265" i="12"/>
  <c r="D264" i="12"/>
  <c r="C264" i="12"/>
  <c r="A264" i="12"/>
  <c r="D263" i="12"/>
  <c r="C263" i="12"/>
  <c r="B263" i="12"/>
  <c r="D262" i="12"/>
  <c r="C262" i="12"/>
  <c r="B262" i="12"/>
  <c r="D261" i="12"/>
  <c r="C261" i="12"/>
  <c r="A261" i="12"/>
  <c r="D260" i="12"/>
  <c r="C260" i="12"/>
  <c r="B260" i="12"/>
  <c r="D259" i="12"/>
  <c r="C259" i="12"/>
  <c r="B259" i="12"/>
  <c r="D258" i="12"/>
  <c r="C258" i="12"/>
  <c r="B258" i="12"/>
  <c r="D257" i="12"/>
  <c r="C257" i="12"/>
  <c r="B257" i="12"/>
  <c r="D256" i="12"/>
  <c r="C256" i="12"/>
  <c r="B256" i="12"/>
  <c r="D255" i="12"/>
  <c r="C255" i="12"/>
  <c r="B255" i="12"/>
  <c r="D254" i="12"/>
  <c r="C254" i="12"/>
  <c r="B254" i="12"/>
  <c r="D253" i="12"/>
  <c r="C253" i="12"/>
  <c r="B253" i="12"/>
  <c r="D252" i="12"/>
  <c r="C252" i="12"/>
  <c r="B252" i="12"/>
  <c r="D251" i="12"/>
  <c r="C251" i="12"/>
  <c r="B251" i="12"/>
  <c r="D250" i="12"/>
  <c r="C250" i="12"/>
  <c r="A250" i="12"/>
  <c r="D249" i="12"/>
  <c r="C249" i="12"/>
  <c r="B249" i="12"/>
  <c r="D248" i="12"/>
  <c r="C248" i="12"/>
  <c r="B248" i="12"/>
  <c r="D247" i="12"/>
  <c r="C247" i="12"/>
  <c r="B247" i="12"/>
  <c r="D246" i="12"/>
  <c r="C246" i="12"/>
  <c r="B246" i="12"/>
  <c r="D245" i="12"/>
  <c r="C245" i="12"/>
  <c r="B245" i="12"/>
  <c r="D244" i="12"/>
  <c r="C244" i="12"/>
  <c r="B244" i="12"/>
  <c r="D243" i="12"/>
  <c r="C243" i="12"/>
  <c r="B243" i="12"/>
  <c r="D242" i="12"/>
  <c r="C242" i="12"/>
  <c r="B242" i="12"/>
  <c r="D241" i="12"/>
  <c r="C241" i="12"/>
  <c r="B241" i="12"/>
  <c r="D240" i="12"/>
  <c r="C240" i="12"/>
  <c r="B240" i="12"/>
  <c r="D239" i="12"/>
  <c r="C239" i="12"/>
  <c r="B239" i="12"/>
  <c r="D238" i="12"/>
  <c r="C238" i="12"/>
  <c r="B238" i="12"/>
  <c r="D237" i="12"/>
  <c r="C237" i="12"/>
  <c r="A237" i="12"/>
  <c r="D236" i="12"/>
  <c r="C236" i="12"/>
  <c r="B236" i="12"/>
  <c r="D235" i="12"/>
  <c r="C235" i="12"/>
  <c r="B235" i="12"/>
  <c r="D234" i="12"/>
  <c r="C234" i="12"/>
  <c r="B234" i="12"/>
  <c r="D233" i="12"/>
  <c r="C233" i="12"/>
  <c r="B233" i="12"/>
  <c r="D232" i="12"/>
  <c r="C232" i="12"/>
  <c r="B232" i="12"/>
  <c r="D231" i="12"/>
  <c r="C231" i="12"/>
  <c r="B231" i="12"/>
  <c r="D230" i="12"/>
  <c r="C230" i="12"/>
  <c r="B230" i="12"/>
  <c r="D229" i="12"/>
  <c r="C229" i="12"/>
  <c r="B229" i="12"/>
  <c r="D228" i="12"/>
  <c r="C228" i="12"/>
  <c r="B228" i="12"/>
  <c r="D227" i="12"/>
  <c r="C227" i="12"/>
  <c r="B227" i="12"/>
  <c r="D226" i="12"/>
  <c r="C226" i="12"/>
  <c r="B226" i="12"/>
  <c r="D225" i="12"/>
  <c r="C225" i="12"/>
  <c r="B225" i="12"/>
  <c r="D224" i="12"/>
  <c r="C224" i="12"/>
  <c r="B224" i="12"/>
  <c r="D223" i="12"/>
  <c r="C223" i="12"/>
  <c r="B223" i="12"/>
  <c r="D222" i="12"/>
  <c r="C222" i="12"/>
  <c r="B222" i="12"/>
  <c r="D221" i="12"/>
  <c r="C221" i="12"/>
  <c r="B221" i="12"/>
  <c r="D220" i="12"/>
  <c r="C220" i="12"/>
  <c r="B220" i="12"/>
  <c r="D219" i="12"/>
  <c r="C219" i="12"/>
  <c r="B219" i="12"/>
  <c r="D218" i="12"/>
  <c r="C218" i="12"/>
  <c r="B218" i="12"/>
  <c r="D217" i="12"/>
  <c r="C217" i="12"/>
  <c r="B217" i="12"/>
  <c r="D216" i="12"/>
  <c r="C216" i="12"/>
  <c r="B216" i="12"/>
  <c r="D215" i="12"/>
  <c r="C215" i="12"/>
  <c r="B215" i="12"/>
  <c r="D214" i="12"/>
  <c r="C214" i="12"/>
  <c r="B214" i="12"/>
  <c r="D213" i="12"/>
  <c r="C213" i="12"/>
  <c r="B213" i="12"/>
  <c r="D212" i="12"/>
  <c r="C212" i="12"/>
  <c r="B212" i="12"/>
  <c r="D211" i="12"/>
  <c r="C211" i="12"/>
  <c r="B211" i="12"/>
  <c r="D210" i="12"/>
  <c r="C210" i="12"/>
  <c r="B210" i="12"/>
  <c r="D209" i="12"/>
  <c r="C209" i="12"/>
  <c r="B209" i="12"/>
  <c r="D208" i="12"/>
  <c r="C208" i="12"/>
  <c r="B208" i="12"/>
  <c r="D207" i="12"/>
  <c r="C207" i="12"/>
  <c r="A207" i="12"/>
  <c r="D206" i="12"/>
  <c r="C206" i="12"/>
  <c r="B206" i="12"/>
  <c r="D205" i="12"/>
  <c r="C205" i="12"/>
  <c r="B205" i="12"/>
  <c r="D204" i="12"/>
  <c r="C204" i="12"/>
  <c r="B204" i="12"/>
  <c r="D203" i="12"/>
  <c r="C203" i="12"/>
  <c r="B203" i="12"/>
  <c r="D202" i="12"/>
  <c r="C202" i="12"/>
  <c r="B202" i="12"/>
  <c r="D201" i="12"/>
  <c r="C201" i="12"/>
  <c r="B201" i="12"/>
  <c r="D200" i="12"/>
  <c r="C200" i="12"/>
  <c r="B200" i="12"/>
  <c r="D199" i="12"/>
  <c r="C199" i="12"/>
  <c r="B199" i="12"/>
  <c r="D198" i="12"/>
  <c r="C198" i="12"/>
  <c r="B198" i="12"/>
  <c r="D197" i="12"/>
  <c r="C197" i="12"/>
  <c r="A197" i="12"/>
  <c r="D196" i="12"/>
  <c r="C196" i="12"/>
  <c r="B196" i="12"/>
  <c r="D195" i="12"/>
  <c r="C195" i="12"/>
  <c r="B195" i="12"/>
  <c r="D194" i="12"/>
  <c r="C194" i="12"/>
  <c r="B194" i="12"/>
  <c r="D193" i="12"/>
  <c r="C193" i="12"/>
  <c r="B193" i="12"/>
  <c r="D192" i="12"/>
  <c r="C192" i="12"/>
  <c r="B192" i="12"/>
  <c r="D191" i="12"/>
  <c r="C191" i="12"/>
  <c r="B191" i="12"/>
  <c r="D190" i="12"/>
  <c r="C190" i="12"/>
  <c r="B190" i="12"/>
  <c r="D189" i="12"/>
  <c r="C189" i="12"/>
  <c r="B189" i="12"/>
  <c r="D188" i="12"/>
  <c r="C188" i="12"/>
  <c r="B188" i="12"/>
  <c r="D187" i="12"/>
  <c r="C187" i="12"/>
  <c r="B187" i="12"/>
  <c r="D186" i="12"/>
  <c r="C186" i="12"/>
  <c r="B186" i="12"/>
  <c r="D185" i="12"/>
  <c r="C185" i="12"/>
  <c r="B185" i="12"/>
  <c r="D184" i="12"/>
  <c r="C184" i="12"/>
  <c r="B184" i="12"/>
  <c r="D183" i="12"/>
  <c r="C183" i="12"/>
  <c r="B183" i="12"/>
  <c r="D182" i="12"/>
  <c r="C182" i="12"/>
  <c r="B182" i="12"/>
  <c r="D181" i="12"/>
  <c r="C181" i="12"/>
  <c r="B181" i="12"/>
  <c r="D180" i="12"/>
  <c r="C180" i="12"/>
  <c r="B180" i="12"/>
  <c r="D179" i="12"/>
  <c r="C179" i="12"/>
  <c r="B179" i="12"/>
  <c r="D178" i="12"/>
  <c r="C178" i="12"/>
  <c r="A178" i="12"/>
  <c r="D177" i="12"/>
  <c r="C177" i="12"/>
  <c r="B177" i="12"/>
  <c r="D176" i="12"/>
  <c r="C176" i="12"/>
  <c r="B176" i="12"/>
  <c r="D175" i="12"/>
  <c r="C175" i="12"/>
  <c r="B175" i="12"/>
  <c r="D174" i="12"/>
  <c r="C174" i="12"/>
  <c r="B174" i="12"/>
  <c r="D173" i="12"/>
  <c r="C173" i="12"/>
  <c r="B173" i="12"/>
  <c r="D172" i="12"/>
  <c r="C172" i="12"/>
  <c r="B172" i="12"/>
  <c r="D171" i="12"/>
  <c r="C171" i="12"/>
  <c r="A171" i="12"/>
  <c r="D170" i="12"/>
  <c r="C170" i="12"/>
  <c r="B170" i="12"/>
  <c r="D169" i="12"/>
  <c r="C169" i="12"/>
  <c r="B169" i="12"/>
  <c r="D168" i="12"/>
  <c r="C168" i="12"/>
  <c r="B168" i="12"/>
  <c r="D167" i="12"/>
  <c r="C167" i="12"/>
  <c r="B167" i="12"/>
  <c r="D166" i="12"/>
  <c r="C166" i="12"/>
  <c r="A166" i="12"/>
  <c r="D165" i="12"/>
  <c r="C165" i="12"/>
  <c r="B165" i="12"/>
  <c r="D164" i="12"/>
  <c r="C164" i="12"/>
  <c r="B164" i="12"/>
  <c r="D163" i="12"/>
  <c r="C163" i="12"/>
  <c r="B163" i="12"/>
  <c r="D162" i="12"/>
  <c r="C162" i="12"/>
  <c r="B162" i="12"/>
  <c r="D161" i="12"/>
  <c r="C161" i="12"/>
  <c r="B161" i="12"/>
  <c r="D160" i="12"/>
  <c r="C160" i="12"/>
  <c r="B160" i="12"/>
  <c r="D159" i="12"/>
  <c r="C159" i="12"/>
  <c r="B159" i="12"/>
  <c r="D158" i="12"/>
  <c r="C158" i="12"/>
  <c r="B158" i="12"/>
  <c r="D157" i="12"/>
  <c r="C157" i="12"/>
  <c r="B157" i="12"/>
  <c r="D156" i="12"/>
  <c r="C156" i="12"/>
  <c r="B156" i="12"/>
  <c r="D155" i="12"/>
  <c r="C155" i="12"/>
  <c r="B155" i="12"/>
  <c r="D154" i="12"/>
  <c r="C154" i="12"/>
  <c r="A154" i="12"/>
  <c r="D153" i="12"/>
  <c r="C153" i="12"/>
  <c r="B153" i="12"/>
  <c r="D152" i="12"/>
  <c r="C152" i="12"/>
  <c r="B152" i="12"/>
  <c r="D151" i="12"/>
  <c r="C151" i="12"/>
  <c r="B151" i="12"/>
  <c r="D150" i="12"/>
  <c r="C150" i="12"/>
  <c r="B150" i="12"/>
  <c r="D149" i="12"/>
  <c r="C149" i="12"/>
  <c r="B149" i="12"/>
  <c r="D148" i="12"/>
  <c r="C148" i="12"/>
  <c r="B148" i="12"/>
  <c r="D147" i="12"/>
  <c r="C147" i="12"/>
  <c r="B147" i="12"/>
  <c r="D146" i="12"/>
  <c r="C146" i="12"/>
  <c r="B146" i="12"/>
  <c r="D145" i="12"/>
  <c r="C145" i="12"/>
  <c r="B145" i="12"/>
  <c r="D144" i="12"/>
  <c r="C144" i="12"/>
  <c r="B144" i="12"/>
  <c r="D143" i="12"/>
  <c r="C143" i="12"/>
  <c r="B143" i="12"/>
  <c r="D142" i="12"/>
  <c r="C142" i="12"/>
  <c r="B142" i="12"/>
  <c r="D141" i="12"/>
  <c r="C141" i="12"/>
  <c r="B141" i="12"/>
  <c r="D140" i="12"/>
  <c r="C140" i="12"/>
  <c r="B140" i="12"/>
  <c r="D139" i="12"/>
  <c r="C139" i="12"/>
  <c r="B139" i="12"/>
  <c r="D138" i="12"/>
  <c r="C138" i="12"/>
  <c r="B138" i="12"/>
  <c r="D137" i="12"/>
  <c r="C137" i="12"/>
  <c r="A137" i="12"/>
  <c r="D136" i="12"/>
  <c r="C136" i="12"/>
  <c r="B136" i="12"/>
  <c r="D135" i="12"/>
  <c r="C135" i="12"/>
  <c r="B135" i="12"/>
  <c r="D134" i="12"/>
  <c r="C134" i="12"/>
  <c r="B134" i="12"/>
  <c r="D133" i="12"/>
  <c r="C133" i="12"/>
  <c r="B133" i="12"/>
  <c r="D132" i="12"/>
  <c r="C132" i="12"/>
  <c r="B132" i="12"/>
  <c r="D131" i="12"/>
  <c r="C131" i="12"/>
  <c r="B131" i="12"/>
  <c r="D130" i="12"/>
  <c r="C130" i="12"/>
  <c r="B130" i="12"/>
  <c r="D129" i="12"/>
  <c r="C129" i="12"/>
  <c r="B129" i="12"/>
  <c r="D128" i="12"/>
  <c r="C128" i="12"/>
  <c r="B128" i="12"/>
  <c r="D127" i="12"/>
  <c r="C127" i="12"/>
  <c r="B127" i="12"/>
  <c r="D126" i="12"/>
  <c r="C126" i="12"/>
  <c r="B126" i="12"/>
  <c r="D125" i="12"/>
  <c r="C125" i="12"/>
  <c r="B125" i="12"/>
  <c r="D124" i="12"/>
  <c r="C124" i="12"/>
  <c r="B124" i="12"/>
  <c r="D123" i="12"/>
  <c r="C123" i="12"/>
  <c r="B123" i="12"/>
  <c r="D122" i="12"/>
  <c r="C122" i="12"/>
  <c r="A122" i="12"/>
  <c r="D121" i="12"/>
  <c r="C121" i="12"/>
  <c r="B121" i="12"/>
  <c r="D120" i="12"/>
  <c r="C120" i="12"/>
  <c r="B120" i="12"/>
  <c r="D119" i="12"/>
  <c r="C119" i="12"/>
  <c r="B119" i="12"/>
  <c r="D118" i="12"/>
  <c r="C118" i="12"/>
  <c r="B118" i="12"/>
  <c r="D117" i="12"/>
  <c r="C117" i="12"/>
  <c r="B117" i="12"/>
  <c r="D116" i="12"/>
  <c r="C116" i="12"/>
  <c r="B116" i="12"/>
  <c r="D115" i="12"/>
  <c r="C115" i="12"/>
  <c r="B115" i="12"/>
  <c r="D114" i="12"/>
  <c r="C114" i="12"/>
  <c r="B114" i="12"/>
  <c r="D113" i="12"/>
  <c r="C113" i="12"/>
  <c r="B113" i="12"/>
  <c r="D112" i="12"/>
  <c r="C112" i="12"/>
  <c r="B112" i="12"/>
  <c r="D111" i="12"/>
  <c r="C111" i="12"/>
  <c r="B111" i="12"/>
  <c r="D110" i="12"/>
  <c r="C110" i="12"/>
  <c r="B110" i="12"/>
  <c r="D109" i="12"/>
  <c r="C109" i="12"/>
  <c r="B109" i="12"/>
  <c r="D108" i="12"/>
  <c r="C108" i="12"/>
  <c r="B108" i="12"/>
  <c r="D107" i="12"/>
  <c r="C107" i="12"/>
  <c r="B107" i="12"/>
  <c r="D106" i="12"/>
  <c r="C106" i="12"/>
  <c r="B106" i="12"/>
  <c r="D105" i="12"/>
  <c r="C105" i="12"/>
  <c r="B105" i="12"/>
  <c r="D104" i="12"/>
  <c r="C104" i="12"/>
  <c r="B104" i="12"/>
  <c r="D103" i="12"/>
  <c r="C103" i="12"/>
  <c r="B103" i="12"/>
  <c r="D102" i="12"/>
  <c r="C102" i="12"/>
  <c r="B102" i="12"/>
  <c r="D101" i="12"/>
  <c r="C101" i="12"/>
  <c r="B101" i="12"/>
  <c r="D100" i="12"/>
  <c r="C100" i="12"/>
  <c r="B100" i="12"/>
  <c r="D99" i="12"/>
  <c r="C99" i="12"/>
  <c r="B99" i="12"/>
  <c r="D98" i="12"/>
  <c r="C98" i="12"/>
  <c r="A98" i="12"/>
  <c r="D97" i="12"/>
  <c r="C97" i="12"/>
  <c r="B97" i="12"/>
  <c r="D96" i="12"/>
  <c r="C96" i="12"/>
  <c r="B96" i="12"/>
  <c r="D95" i="12"/>
  <c r="C95" i="12"/>
  <c r="B95" i="12"/>
  <c r="D94" i="12"/>
  <c r="C94" i="12"/>
  <c r="B94" i="12"/>
  <c r="D93" i="12"/>
  <c r="C93" i="12"/>
  <c r="B93" i="12"/>
  <c r="D92" i="12"/>
  <c r="C92" i="12"/>
  <c r="B92" i="12"/>
  <c r="D91" i="12"/>
  <c r="C91" i="12"/>
  <c r="B91" i="12"/>
  <c r="D90" i="12"/>
  <c r="C90" i="12"/>
  <c r="B90" i="12"/>
  <c r="D89" i="12"/>
  <c r="C89" i="12"/>
  <c r="B89" i="12"/>
  <c r="D88" i="12"/>
  <c r="C88" i="12"/>
  <c r="B88" i="12"/>
  <c r="D87" i="12"/>
  <c r="C87" i="12"/>
  <c r="B87" i="12"/>
  <c r="D86" i="12"/>
  <c r="C86" i="12"/>
  <c r="B86" i="12"/>
  <c r="D85" i="12"/>
  <c r="C85" i="12"/>
  <c r="B85" i="12"/>
  <c r="D84" i="12"/>
  <c r="C84" i="12"/>
  <c r="B84" i="12"/>
  <c r="D83" i="12"/>
  <c r="C83" i="12"/>
  <c r="B83" i="12"/>
  <c r="D82" i="12"/>
  <c r="C82" i="12"/>
  <c r="B82" i="12"/>
  <c r="D81" i="12"/>
  <c r="C81" i="12"/>
  <c r="B81" i="12"/>
  <c r="D80" i="12"/>
  <c r="C80" i="12"/>
  <c r="B80" i="12"/>
  <c r="D79" i="12"/>
  <c r="C79" i="12"/>
  <c r="A79" i="12"/>
  <c r="D78" i="12"/>
  <c r="C78" i="12"/>
  <c r="B78" i="12"/>
  <c r="D77" i="12"/>
  <c r="C77" i="12"/>
  <c r="B77" i="12"/>
  <c r="D76" i="12"/>
  <c r="C76" i="12"/>
  <c r="B76" i="12"/>
  <c r="D75" i="12"/>
  <c r="C75" i="12"/>
  <c r="B75" i="12"/>
  <c r="D74" i="12"/>
  <c r="C74" i="12"/>
  <c r="B74" i="12"/>
  <c r="D73" i="12"/>
  <c r="C73" i="12"/>
  <c r="B73" i="12"/>
  <c r="D72" i="12"/>
  <c r="C72" i="12"/>
  <c r="B72" i="12"/>
  <c r="D71" i="12"/>
  <c r="C71" i="12"/>
  <c r="B71" i="12"/>
  <c r="D70" i="12"/>
  <c r="C70" i="12"/>
  <c r="B70" i="12"/>
  <c r="D69" i="12"/>
  <c r="C69" i="12"/>
  <c r="B69" i="12"/>
  <c r="D68" i="12"/>
  <c r="C68" i="12"/>
  <c r="B68" i="12"/>
  <c r="D67" i="12"/>
  <c r="C67" i="12"/>
  <c r="B67" i="12"/>
  <c r="D66" i="12"/>
  <c r="C66" i="12"/>
  <c r="B66" i="12"/>
  <c r="D65" i="12"/>
  <c r="C65" i="12"/>
  <c r="B65" i="12"/>
  <c r="D64" i="12"/>
  <c r="C64" i="12"/>
  <c r="B64" i="12"/>
  <c r="D63" i="12"/>
  <c r="C63" i="12"/>
  <c r="A63" i="12"/>
  <c r="D62" i="12"/>
  <c r="C62" i="12"/>
  <c r="B62" i="12"/>
  <c r="D61" i="12"/>
  <c r="C61" i="12"/>
  <c r="B61" i="12"/>
  <c r="D60" i="12"/>
  <c r="C60" i="12"/>
  <c r="B60" i="12"/>
  <c r="D59" i="12"/>
  <c r="C59" i="12"/>
  <c r="B59" i="12"/>
  <c r="D58" i="12"/>
  <c r="C58" i="12"/>
  <c r="B58" i="12"/>
  <c r="D57" i="12"/>
  <c r="C57" i="12"/>
  <c r="B57" i="12"/>
  <c r="D56" i="12"/>
  <c r="C56" i="12"/>
  <c r="B56" i="12"/>
  <c r="D55" i="12"/>
  <c r="C55" i="12"/>
  <c r="B55" i="12"/>
  <c r="D54" i="12"/>
  <c r="C54" i="12"/>
  <c r="B54" i="12"/>
  <c r="D53" i="12"/>
  <c r="C53" i="12"/>
  <c r="B53" i="12"/>
  <c r="D52" i="12"/>
  <c r="C52" i="12"/>
  <c r="B52" i="12"/>
  <c r="D51" i="12"/>
  <c r="C51" i="12"/>
  <c r="B51" i="12"/>
  <c r="D50" i="12"/>
  <c r="C50" i="12"/>
  <c r="B50" i="12"/>
  <c r="D49" i="12"/>
  <c r="C49" i="12"/>
  <c r="B49" i="12"/>
  <c r="D48" i="12"/>
  <c r="C48" i="12"/>
  <c r="B48" i="12"/>
  <c r="D47" i="12"/>
  <c r="C47" i="12"/>
  <c r="B47" i="12"/>
  <c r="D46" i="12"/>
  <c r="C46" i="12"/>
  <c r="A46" i="12"/>
  <c r="D45" i="12"/>
  <c r="C45" i="12"/>
  <c r="B45" i="12"/>
  <c r="D44" i="12"/>
  <c r="C44" i="12"/>
  <c r="B44" i="12"/>
  <c r="D43" i="12"/>
  <c r="C43" i="12"/>
  <c r="B43" i="12"/>
  <c r="D42" i="12"/>
  <c r="C42" i="12"/>
  <c r="B42" i="12"/>
  <c r="D41" i="12"/>
  <c r="C41" i="12"/>
  <c r="B41" i="12"/>
  <c r="D40" i="12"/>
  <c r="C40" i="12"/>
  <c r="A40" i="12"/>
  <c r="D39" i="12"/>
  <c r="C39" i="12"/>
  <c r="B39" i="12"/>
  <c r="D38" i="12"/>
  <c r="C38" i="12"/>
  <c r="B38" i="12"/>
  <c r="D37" i="12"/>
  <c r="C37" i="12"/>
  <c r="B37" i="12"/>
  <c r="D36" i="12"/>
  <c r="C36" i="12"/>
  <c r="B36" i="12"/>
  <c r="D35" i="12"/>
  <c r="C35" i="12"/>
  <c r="B35" i="12"/>
  <c r="D34" i="12"/>
  <c r="C34" i="12"/>
  <c r="B34" i="12"/>
  <c r="D33" i="12"/>
  <c r="C33" i="12"/>
  <c r="B33" i="12"/>
  <c r="D32" i="12"/>
  <c r="C32" i="12"/>
  <c r="A32" i="12"/>
  <c r="D31" i="12"/>
  <c r="B31" i="12"/>
  <c r="D30" i="12"/>
  <c r="B30" i="12"/>
  <c r="D29" i="12"/>
  <c r="B29" i="12"/>
  <c r="D28" i="12"/>
  <c r="B28" i="12"/>
  <c r="D27" i="12"/>
  <c r="B27" i="12"/>
  <c r="D26" i="12"/>
  <c r="B26" i="12"/>
  <c r="D25" i="12"/>
  <c r="B25" i="12"/>
  <c r="D23" i="12"/>
  <c r="C23" i="12"/>
  <c r="A23" i="12"/>
  <c r="D22" i="12"/>
  <c r="C22" i="12"/>
  <c r="B22" i="12"/>
  <c r="D21" i="12"/>
  <c r="C21" i="12"/>
  <c r="B21" i="12"/>
  <c r="D20" i="12"/>
  <c r="C20" i="12"/>
  <c r="B20" i="12"/>
  <c r="D19" i="12"/>
  <c r="C19" i="12"/>
  <c r="B19" i="12"/>
  <c r="D18" i="12"/>
  <c r="C18" i="12"/>
  <c r="B18" i="12"/>
  <c r="D17" i="12"/>
  <c r="C17" i="12"/>
  <c r="A17" i="12"/>
  <c r="D16" i="12"/>
  <c r="C16" i="12"/>
  <c r="B16" i="12"/>
  <c r="D15" i="12"/>
  <c r="C15" i="12"/>
  <c r="B15" i="12"/>
  <c r="D14" i="12"/>
  <c r="C14" i="12"/>
  <c r="B14" i="12"/>
  <c r="D13" i="12"/>
  <c r="C13" i="12"/>
  <c r="B13" i="12"/>
  <c r="D12" i="12"/>
  <c r="C12" i="12"/>
  <c r="B12" i="12"/>
  <c r="D11" i="12"/>
  <c r="C11" i="12"/>
  <c r="B11" i="12"/>
  <c r="D10" i="12"/>
  <c r="C10" i="12"/>
  <c r="B10" i="12"/>
  <c r="D9" i="12"/>
  <c r="C9" i="12"/>
  <c r="B9" i="12"/>
  <c r="D8" i="12"/>
  <c r="C8" i="12"/>
  <c r="B8" i="12"/>
  <c r="D7" i="12"/>
  <c r="C7" i="12"/>
  <c r="A7" i="12"/>
  <c r="B259" i="11"/>
  <c r="B258" i="11"/>
  <c r="B257" i="11"/>
  <c r="B256" i="11"/>
  <c r="B255" i="11"/>
  <c r="B254" i="11"/>
  <c r="B253" i="11"/>
  <c r="B252" i="11"/>
  <c r="B251" i="11"/>
  <c r="B250" i="11"/>
  <c r="B249" i="11"/>
  <c r="B248" i="11"/>
  <c r="A247" i="11"/>
  <c r="B246" i="11"/>
  <c r="B245" i="11"/>
  <c r="B244" i="11"/>
  <c r="B243" i="11"/>
  <c r="B242" i="11"/>
  <c r="B241" i="11"/>
  <c r="B240" i="11"/>
  <c r="B239" i="11"/>
  <c r="B238" i="11"/>
  <c r="B237" i="11"/>
  <c r="B236" i="11"/>
  <c r="B235" i="11"/>
  <c r="B234" i="11"/>
  <c r="B233" i="11"/>
  <c r="B232" i="11"/>
  <c r="B231" i="11"/>
  <c r="B230" i="11"/>
  <c r="B229" i="11"/>
  <c r="B228" i="11"/>
  <c r="B227" i="11"/>
  <c r="B226" i="11"/>
  <c r="B225" i="11"/>
  <c r="B224" i="11"/>
  <c r="B223" i="11"/>
  <c r="B222" i="11"/>
  <c r="B221" i="11"/>
  <c r="B220" i="11"/>
  <c r="B219" i="11"/>
  <c r="B218" i="11"/>
  <c r="A217" i="11"/>
  <c r="B216" i="11"/>
  <c r="B215" i="11"/>
  <c r="B214" i="11"/>
  <c r="B213" i="11"/>
  <c r="A212" i="11"/>
  <c r="B211" i="11"/>
  <c r="B210" i="11"/>
  <c r="B209" i="11"/>
  <c r="B208" i="11"/>
  <c r="A207" i="11"/>
  <c r="B206" i="11"/>
  <c r="B205" i="11"/>
  <c r="B204" i="11"/>
  <c r="B203" i="11"/>
  <c r="B202" i="11"/>
  <c r="B201" i="11"/>
  <c r="B200" i="11"/>
  <c r="A199" i="11"/>
  <c r="B198" i="11"/>
  <c r="B197" i="11"/>
  <c r="B196" i="11"/>
  <c r="B195" i="11"/>
  <c r="B194" i="11"/>
  <c r="B193" i="11"/>
  <c r="A192" i="11"/>
  <c r="B191" i="11"/>
  <c r="B190" i="11"/>
  <c r="A189" i="11"/>
  <c r="B188" i="11"/>
  <c r="B187" i="11"/>
  <c r="B186" i="11"/>
  <c r="B185" i="11"/>
  <c r="B184" i="11"/>
  <c r="B183" i="11"/>
  <c r="B182" i="11"/>
  <c r="B181" i="11"/>
  <c r="B180" i="11"/>
  <c r="B179" i="11"/>
  <c r="B178" i="11"/>
  <c r="B177" i="11"/>
  <c r="B176" i="11"/>
  <c r="B175" i="11"/>
  <c r="B174" i="11"/>
  <c r="A173" i="11"/>
  <c r="B172" i="11"/>
  <c r="B171" i="11"/>
  <c r="A170" i="11"/>
  <c r="B169" i="11"/>
  <c r="B168" i="11"/>
  <c r="B167" i="11"/>
  <c r="B166" i="11"/>
  <c r="B165" i="11"/>
  <c r="A164" i="11"/>
  <c r="B163" i="11"/>
  <c r="B162" i="11"/>
  <c r="B161" i="11"/>
  <c r="A160" i="11"/>
  <c r="B159" i="11"/>
  <c r="B158" i="11"/>
  <c r="B157" i="11"/>
  <c r="B156" i="11"/>
  <c r="B155" i="11"/>
  <c r="B154" i="11"/>
  <c r="B153" i="11"/>
  <c r="B152" i="11"/>
  <c r="B151" i="11"/>
  <c r="A150" i="11"/>
  <c r="B149" i="11"/>
  <c r="B148" i="11"/>
  <c r="B147" i="11"/>
  <c r="B146" i="11"/>
  <c r="A145" i="11"/>
  <c r="B144" i="11"/>
  <c r="B143" i="11"/>
  <c r="A142" i="11"/>
  <c r="B141" i="11"/>
  <c r="B140" i="11"/>
  <c r="B139" i="11"/>
  <c r="B138" i="11"/>
  <c r="B137" i="11"/>
  <c r="B136" i="11"/>
  <c r="A135" i="11"/>
  <c r="B134" i="11"/>
  <c r="B133" i="11"/>
  <c r="B132" i="11"/>
  <c r="B131" i="11"/>
  <c r="A130" i="11"/>
  <c r="B129" i="11"/>
  <c r="B128" i="11"/>
  <c r="B127" i="11"/>
  <c r="B126" i="11"/>
  <c r="A125" i="11"/>
  <c r="K120" i="11"/>
  <c r="I120" i="11"/>
  <c r="G120" i="11"/>
  <c r="B120" i="11"/>
  <c r="K119" i="11"/>
  <c r="I119" i="11"/>
  <c r="G119" i="11"/>
  <c r="B119" i="11"/>
  <c r="K118" i="11"/>
  <c r="I118" i="11"/>
  <c r="G118" i="11"/>
  <c r="B118" i="11"/>
  <c r="K117" i="11"/>
  <c r="I117" i="11"/>
  <c r="G117" i="11"/>
  <c r="B117" i="11"/>
  <c r="K116" i="11"/>
  <c r="I116" i="11"/>
  <c r="G116" i="11"/>
  <c r="B116" i="11"/>
  <c r="K115" i="11"/>
  <c r="I115" i="11"/>
  <c r="G115" i="11"/>
  <c r="B115" i="11"/>
  <c r="K114" i="11"/>
  <c r="I114" i="11"/>
  <c r="G114" i="11"/>
  <c r="B114" i="11"/>
  <c r="K113" i="11"/>
  <c r="I113" i="11"/>
  <c r="G113" i="11"/>
  <c r="B113" i="11"/>
  <c r="A112" i="11"/>
  <c r="K111" i="11"/>
  <c r="I111" i="11"/>
  <c r="G111" i="11"/>
  <c r="B111" i="11"/>
  <c r="K110" i="11"/>
  <c r="I110" i="11"/>
  <c r="G110" i="11"/>
  <c r="B110" i="11"/>
  <c r="K109" i="11"/>
  <c r="I109" i="11"/>
  <c r="G109" i="11"/>
  <c r="B109" i="11"/>
  <c r="K108" i="11"/>
  <c r="I108" i="11"/>
  <c r="G108" i="11"/>
  <c r="B108" i="11"/>
  <c r="K107" i="11"/>
  <c r="I107" i="11"/>
  <c r="G107" i="11"/>
  <c r="B107" i="11"/>
  <c r="K106" i="11"/>
  <c r="I106" i="11"/>
  <c r="G106" i="11"/>
  <c r="B106" i="11"/>
  <c r="K105" i="11"/>
  <c r="I105" i="11"/>
  <c r="G105" i="11"/>
  <c r="B105" i="11"/>
  <c r="K104" i="11"/>
  <c r="I104" i="11"/>
  <c r="G104" i="11"/>
  <c r="B104" i="11"/>
  <c r="K103" i="11"/>
  <c r="I103" i="11"/>
  <c r="G103" i="11"/>
  <c r="B103" i="11"/>
  <c r="K102" i="11"/>
  <c r="I102" i="11"/>
  <c r="G102" i="11"/>
  <c r="B102" i="11"/>
  <c r="K101" i="11"/>
  <c r="I101" i="11"/>
  <c r="G101" i="11"/>
  <c r="B101" i="11"/>
  <c r="K100" i="11"/>
  <c r="I100" i="11"/>
  <c r="G100" i="11"/>
  <c r="B100" i="11"/>
  <c r="K99" i="11"/>
  <c r="I99" i="11"/>
  <c r="G99" i="11"/>
  <c r="B99" i="11"/>
  <c r="K98" i="11"/>
  <c r="I98" i="11"/>
  <c r="G98" i="11"/>
  <c r="B98" i="11"/>
  <c r="K97" i="11"/>
  <c r="I97" i="11"/>
  <c r="G97" i="11"/>
  <c r="B97" i="11"/>
  <c r="A96" i="11"/>
  <c r="K95" i="11"/>
  <c r="I95" i="11"/>
  <c r="G95" i="11"/>
  <c r="B95" i="11"/>
  <c r="K94" i="11"/>
  <c r="I94" i="11"/>
  <c r="G94" i="11"/>
  <c r="B94" i="11"/>
  <c r="K93" i="11"/>
  <c r="I93" i="11"/>
  <c r="G93" i="11"/>
  <c r="B93" i="11"/>
  <c r="K92" i="11"/>
  <c r="I92" i="11"/>
  <c r="G92" i="11"/>
  <c r="B92" i="11"/>
  <c r="K91" i="11"/>
  <c r="I91" i="11"/>
  <c r="G91" i="11"/>
  <c r="B91" i="11"/>
  <c r="A90" i="11"/>
  <c r="K89" i="11"/>
  <c r="I89" i="11"/>
  <c r="G89" i="11"/>
  <c r="B89" i="11"/>
  <c r="K88" i="11"/>
  <c r="I88" i="11"/>
  <c r="G88" i="11"/>
  <c r="B88" i="11"/>
  <c r="K87" i="11"/>
  <c r="I87" i="11"/>
  <c r="G87" i="11"/>
  <c r="B87" i="11"/>
  <c r="K86" i="11"/>
  <c r="I86" i="11"/>
  <c r="G86" i="11"/>
  <c r="B86" i="11"/>
  <c r="K85" i="11"/>
  <c r="I85" i="11"/>
  <c r="G85" i="11"/>
  <c r="B85" i="11"/>
  <c r="K84" i="11"/>
  <c r="I84" i="11"/>
  <c r="G84" i="11"/>
  <c r="B84" i="11"/>
  <c r="K83" i="11"/>
  <c r="I83" i="11"/>
  <c r="G83" i="11"/>
  <c r="B83" i="11"/>
  <c r="K82" i="11"/>
  <c r="I82" i="11"/>
  <c r="G82" i="11"/>
  <c r="B82" i="11"/>
  <c r="K81" i="11"/>
  <c r="I81" i="11"/>
  <c r="G81" i="11"/>
  <c r="B81" i="11"/>
  <c r="K80" i="11"/>
  <c r="I80" i="11"/>
  <c r="G80" i="11"/>
  <c r="B80" i="11"/>
  <c r="K79" i="11"/>
  <c r="I79" i="11"/>
  <c r="G79" i="11"/>
  <c r="B79" i="11"/>
  <c r="K78" i="11"/>
  <c r="I78" i="11"/>
  <c r="G78" i="11"/>
  <c r="B78" i="11"/>
  <c r="K77" i="11"/>
  <c r="I77" i="11"/>
  <c r="G77" i="11"/>
  <c r="B77" i="11"/>
  <c r="A76" i="11"/>
  <c r="K75" i="11"/>
  <c r="I75" i="11"/>
  <c r="G75" i="11"/>
  <c r="B75" i="11"/>
  <c r="K74" i="11"/>
  <c r="I74" i="11"/>
  <c r="G74" i="11"/>
  <c r="B74" i="11"/>
  <c r="K73" i="11"/>
  <c r="I73" i="11"/>
  <c r="G73" i="11"/>
  <c r="B73" i="11"/>
  <c r="K72" i="11"/>
  <c r="I72" i="11"/>
  <c r="G72" i="11"/>
  <c r="B72" i="11"/>
  <c r="K71" i="11"/>
  <c r="I71" i="11"/>
  <c r="G71" i="11"/>
  <c r="B71" i="11"/>
  <c r="K70" i="11"/>
  <c r="I70" i="11"/>
  <c r="G70" i="11"/>
  <c r="B70" i="11"/>
  <c r="K69" i="11"/>
  <c r="I69" i="11"/>
  <c r="G69" i="11"/>
  <c r="B69" i="11"/>
  <c r="K68" i="11"/>
  <c r="I68" i="11"/>
  <c r="G68" i="11"/>
  <c r="B68" i="11"/>
  <c r="A67" i="11"/>
  <c r="K66" i="11"/>
  <c r="I66" i="11"/>
  <c r="G66" i="11"/>
  <c r="B66" i="11"/>
  <c r="K65" i="11"/>
  <c r="I65" i="11"/>
  <c r="G65" i="11"/>
  <c r="B65" i="11"/>
  <c r="A64" i="11"/>
  <c r="K63" i="11"/>
  <c r="I63" i="11"/>
  <c r="G63" i="11"/>
  <c r="B63" i="11"/>
  <c r="K62" i="11"/>
  <c r="I62" i="11"/>
  <c r="G62" i="11"/>
  <c r="B62" i="11"/>
  <c r="A61" i="11"/>
  <c r="K60" i="11"/>
  <c r="I60" i="11"/>
  <c r="G60" i="11"/>
  <c r="B60" i="11"/>
  <c r="K59" i="11"/>
  <c r="I59" i="11"/>
  <c r="G59" i="11"/>
  <c r="B59" i="11"/>
  <c r="K58" i="11"/>
  <c r="I58" i="11"/>
  <c r="G58" i="11"/>
  <c r="B58" i="11"/>
  <c r="A57" i="11"/>
  <c r="K56" i="11"/>
  <c r="I56" i="11"/>
  <c r="G56" i="11"/>
  <c r="B56" i="11"/>
  <c r="K55" i="11"/>
  <c r="I55" i="11"/>
  <c r="G55" i="11"/>
  <c r="B55" i="11"/>
  <c r="K54" i="11"/>
  <c r="I54" i="11"/>
  <c r="G54" i="11"/>
  <c r="B54" i="11"/>
  <c r="K53" i="11"/>
  <c r="I53" i="11"/>
  <c r="G53" i="11"/>
  <c r="B53" i="11"/>
  <c r="A52" i="11"/>
  <c r="K51" i="11"/>
  <c r="I51" i="11"/>
  <c r="G51" i="11"/>
  <c r="B51" i="11"/>
  <c r="K50" i="11"/>
  <c r="I50" i="11"/>
  <c r="G50" i="11"/>
  <c r="B50" i="11"/>
  <c r="K49" i="11"/>
  <c r="I49" i="11"/>
  <c r="G49" i="11"/>
  <c r="B49" i="11"/>
  <c r="K48" i="11"/>
  <c r="I48" i="11"/>
  <c r="G48" i="11"/>
  <c r="B48" i="11"/>
  <c r="K47" i="11"/>
  <c r="I47" i="11"/>
  <c r="G47" i="11"/>
  <c r="B47" i="11"/>
  <c r="A46" i="11"/>
  <c r="A43" i="11"/>
  <c r="A42" i="11"/>
  <c r="A41" i="11"/>
  <c r="A40" i="11"/>
  <c r="A39" i="11"/>
  <c r="A38" i="11"/>
  <c r="C30" i="11"/>
  <c r="B30" i="11"/>
  <c r="G30" i="11" s="1"/>
  <c r="G29" i="11"/>
  <c r="C29" i="11"/>
  <c r="B29" i="11"/>
  <c r="G28" i="11"/>
  <c r="C28" i="11"/>
  <c r="B28" i="11"/>
  <c r="G27" i="11"/>
  <c r="C27" i="11"/>
  <c r="B27" i="11"/>
  <c r="G26" i="11"/>
  <c r="C26" i="11"/>
  <c r="B26" i="11"/>
  <c r="G25" i="11"/>
  <c r="C25" i="11"/>
  <c r="B25" i="11"/>
  <c r="G24" i="11"/>
  <c r="C24" i="11"/>
  <c r="B24" i="11"/>
  <c r="G23" i="11"/>
  <c r="C23" i="11"/>
  <c r="B23" i="11"/>
  <c r="G22" i="11"/>
  <c r="C22" i="11"/>
  <c r="B22" i="11"/>
  <c r="E21" i="11"/>
  <c r="D21" i="11"/>
  <c r="B21" i="11"/>
  <c r="G21" i="11" s="1"/>
  <c r="C17" i="11"/>
  <c r="A10" i="11"/>
  <c r="A9" i="11"/>
  <c r="A8" i="11"/>
  <c r="A7" i="11"/>
  <c r="A6" i="11"/>
  <c r="A5" i="11"/>
  <c r="I2" i="11"/>
  <c r="C15" i="10"/>
  <c r="A7" i="10"/>
  <c r="A6" i="10"/>
  <c r="A5" i="10"/>
  <c r="K2" i="10"/>
  <c r="K345" i="9"/>
  <c r="G345" i="9"/>
  <c r="A345" i="9"/>
  <c r="I345" i="9" s="1"/>
  <c r="K344" i="9"/>
  <c r="I344" i="9"/>
  <c r="G344" i="9"/>
  <c r="A344" i="9"/>
  <c r="K343" i="9"/>
  <c r="I343" i="9"/>
  <c r="G343" i="9"/>
  <c r="A343" i="9"/>
  <c r="K342" i="9"/>
  <c r="I342" i="9"/>
  <c r="G342" i="9"/>
  <c r="A342" i="9"/>
  <c r="K341" i="9"/>
  <c r="I341" i="9"/>
  <c r="G341" i="9"/>
  <c r="A341" i="9"/>
  <c r="K340" i="9"/>
  <c r="A340" i="9"/>
  <c r="K338" i="9"/>
  <c r="A338" i="9"/>
  <c r="K337" i="9"/>
  <c r="G337" i="9"/>
  <c r="A337" i="9"/>
  <c r="K336" i="9"/>
  <c r="A336" i="9"/>
  <c r="K335" i="9"/>
  <c r="I335" i="9"/>
  <c r="A335" i="9"/>
  <c r="G335" i="9" s="1"/>
  <c r="K334" i="9"/>
  <c r="A334" i="9"/>
  <c r="K333" i="9"/>
  <c r="A333" i="9"/>
  <c r="K332" i="9"/>
  <c r="A332" i="9"/>
  <c r="K331" i="9"/>
  <c r="A331" i="9"/>
  <c r="K329" i="9"/>
  <c r="I329" i="9"/>
  <c r="G329" i="9"/>
  <c r="A329" i="9"/>
  <c r="K328" i="9"/>
  <c r="A328" i="9"/>
  <c r="K327" i="9"/>
  <c r="G327" i="9"/>
  <c r="A327" i="9"/>
  <c r="K326" i="9"/>
  <c r="I326" i="9"/>
  <c r="G326" i="9"/>
  <c r="A326" i="9"/>
  <c r="K325" i="9"/>
  <c r="I325" i="9"/>
  <c r="A325" i="9"/>
  <c r="A324" i="9"/>
  <c r="K323" i="9"/>
  <c r="I323" i="9"/>
  <c r="G323" i="9"/>
  <c r="A323" i="9"/>
  <c r="K322" i="9"/>
  <c r="G322" i="9"/>
  <c r="A322" i="9"/>
  <c r="K321" i="9"/>
  <c r="A321" i="9"/>
  <c r="K320" i="9"/>
  <c r="A320" i="9"/>
  <c r="K319" i="9"/>
  <c r="A319" i="9"/>
  <c r="A318" i="9"/>
  <c r="K317" i="9"/>
  <c r="A317" i="9"/>
  <c r="I317" i="9" s="1"/>
  <c r="K316" i="9"/>
  <c r="I316" i="9"/>
  <c r="G316" i="9"/>
  <c r="A316" i="9"/>
  <c r="K315" i="9"/>
  <c r="I315" i="9"/>
  <c r="G315" i="9"/>
  <c r="A315" i="9"/>
  <c r="K314" i="9"/>
  <c r="I314" i="9"/>
  <c r="A314" i="9"/>
  <c r="K313" i="9"/>
  <c r="I313" i="9"/>
  <c r="G313" i="9"/>
  <c r="A313" i="9"/>
  <c r="A312" i="9"/>
  <c r="K311" i="9"/>
  <c r="A311" i="9"/>
  <c r="K310" i="9"/>
  <c r="A310" i="9"/>
  <c r="K308" i="9"/>
  <c r="I308" i="9"/>
  <c r="A308" i="9"/>
  <c r="G308" i="9" s="1"/>
  <c r="K307" i="9"/>
  <c r="A307" i="9"/>
  <c r="K306" i="9"/>
  <c r="G306" i="9"/>
  <c r="A306" i="9"/>
  <c r="I306" i="9" s="1"/>
  <c r="K305" i="9"/>
  <c r="A305" i="9"/>
  <c r="K304" i="9"/>
  <c r="I304" i="9"/>
  <c r="G304" i="9"/>
  <c r="A304" i="9"/>
  <c r="K303" i="9"/>
  <c r="G303" i="9"/>
  <c r="A303" i="9"/>
  <c r="I303" i="9" s="1"/>
  <c r="K302" i="9"/>
  <c r="I302" i="9"/>
  <c r="G302" i="9"/>
  <c r="A302" i="9"/>
  <c r="K301" i="9"/>
  <c r="A301" i="9"/>
  <c r="K300" i="9"/>
  <c r="I300" i="9"/>
  <c r="A300" i="9"/>
  <c r="G300" i="9" s="1"/>
  <c r="K299" i="9"/>
  <c r="A299" i="9"/>
  <c r="A298" i="9"/>
  <c r="K297" i="9"/>
  <c r="I297" i="9"/>
  <c r="A297" i="9"/>
  <c r="K296" i="9"/>
  <c r="A296" i="9"/>
  <c r="K295" i="9"/>
  <c r="A295" i="9"/>
  <c r="K294" i="9"/>
  <c r="A294" i="9"/>
  <c r="K293" i="9"/>
  <c r="G293" i="9"/>
  <c r="A293" i="9"/>
  <c r="K292" i="9"/>
  <c r="A292" i="9"/>
  <c r="K291" i="9"/>
  <c r="I291" i="9"/>
  <c r="G291" i="9"/>
  <c r="A291" i="9"/>
  <c r="K290" i="9"/>
  <c r="I290" i="9"/>
  <c r="A290" i="9"/>
  <c r="G290" i="9" s="1"/>
  <c r="K289" i="9"/>
  <c r="I289" i="9"/>
  <c r="G289" i="9"/>
  <c r="A289" i="9"/>
  <c r="K288" i="9"/>
  <c r="A288" i="9"/>
  <c r="K287" i="9"/>
  <c r="I287" i="9"/>
  <c r="A287" i="9"/>
  <c r="K286" i="9"/>
  <c r="A286" i="9"/>
  <c r="A285" i="9"/>
  <c r="K284" i="9"/>
  <c r="G284" i="9"/>
  <c r="A284" i="9"/>
  <c r="I284" i="9" s="1"/>
  <c r="K283" i="9"/>
  <c r="I283" i="9"/>
  <c r="G283" i="9"/>
  <c r="A283" i="9"/>
  <c r="K282" i="9"/>
  <c r="G282" i="9"/>
  <c r="A282" i="9"/>
  <c r="I282" i="9" s="1"/>
  <c r="K281" i="9"/>
  <c r="I281" i="9"/>
  <c r="G281" i="9"/>
  <c r="A281" i="9"/>
  <c r="K280" i="9"/>
  <c r="I280" i="9"/>
  <c r="A280" i="9"/>
  <c r="K279" i="9"/>
  <c r="A279" i="9"/>
  <c r="K278" i="9"/>
  <c r="I278" i="9"/>
  <c r="A278" i="9"/>
  <c r="K277" i="9"/>
  <c r="A277" i="9"/>
  <c r="K276" i="9"/>
  <c r="I276" i="9"/>
  <c r="A276" i="9"/>
  <c r="K275" i="9"/>
  <c r="A275" i="9"/>
  <c r="K274" i="9"/>
  <c r="I274" i="9"/>
  <c r="G274" i="9"/>
  <c r="A274" i="9"/>
  <c r="K273" i="9"/>
  <c r="G273" i="9"/>
  <c r="A273" i="9"/>
  <c r="I273" i="9" s="1"/>
  <c r="K272" i="9"/>
  <c r="A272" i="9"/>
  <c r="K271" i="9"/>
  <c r="A271" i="9"/>
  <c r="K270" i="9"/>
  <c r="I270" i="9"/>
  <c r="G270" i="9"/>
  <c r="A270" i="9"/>
  <c r="K269" i="9"/>
  <c r="I269" i="9"/>
  <c r="G269" i="9"/>
  <c r="A269" i="9"/>
  <c r="K268" i="9"/>
  <c r="G268" i="9"/>
  <c r="A268" i="9"/>
  <c r="K267" i="9"/>
  <c r="I267" i="9"/>
  <c r="G267" i="9"/>
  <c r="A267" i="9"/>
  <c r="K266" i="9"/>
  <c r="I266" i="9"/>
  <c r="A266" i="9"/>
  <c r="K265" i="9"/>
  <c r="I265" i="9"/>
  <c r="G265" i="9"/>
  <c r="A265" i="9"/>
  <c r="K264" i="9"/>
  <c r="I264" i="9"/>
  <c r="A264" i="9"/>
  <c r="K263" i="9"/>
  <c r="I263" i="9"/>
  <c r="G263" i="9"/>
  <c r="A263" i="9"/>
  <c r="K262" i="9"/>
  <c r="I262" i="9"/>
  <c r="A262" i="9"/>
  <c r="G262" i="9" s="1"/>
  <c r="K261" i="9"/>
  <c r="G261" i="9"/>
  <c r="A261" i="9"/>
  <c r="I261" i="9" s="1"/>
  <c r="K260" i="9"/>
  <c r="I260" i="9"/>
  <c r="G260" i="9"/>
  <c r="A260" i="9"/>
  <c r="K259" i="9"/>
  <c r="I259" i="9"/>
  <c r="G259" i="9"/>
  <c r="A259" i="9"/>
  <c r="K258" i="9"/>
  <c r="G258" i="9"/>
  <c r="A258" i="9"/>
  <c r="K257" i="9"/>
  <c r="A257" i="9"/>
  <c r="K256" i="9"/>
  <c r="G256" i="9"/>
  <c r="A256" i="9"/>
  <c r="A255" i="9" s="1"/>
  <c r="K254" i="9"/>
  <c r="G254" i="9"/>
  <c r="A254" i="9"/>
  <c r="I254" i="9" s="1"/>
  <c r="K253" i="9"/>
  <c r="A253" i="9"/>
  <c r="K252" i="9"/>
  <c r="I252" i="9"/>
  <c r="A252" i="9"/>
  <c r="K251" i="9"/>
  <c r="A251" i="9"/>
  <c r="K250" i="9"/>
  <c r="G250" i="9"/>
  <c r="A250" i="9"/>
  <c r="K249" i="9"/>
  <c r="I249" i="9"/>
  <c r="A249" i="9"/>
  <c r="K248" i="9"/>
  <c r="I248" i="9"/>
  <c r="A248" i="9"/>
  <c r="G248" i="9" s="1"/>
  <c r="K247" i="9"/>
  <c r="I247" i="9"/>
  <c r="G247" i="9"/>
  <c r="A247" i="9"/>
  <c r="K246" i="9"/>
  <c r="A246" i="9"/>
  <c r="I246" i="9" s="1"/>
  <c r="K244" i="9"/>
  <c r="A244" i="9"/>
  <c r="K243" i="9"/>
  <c r="G243" i="9"/>
  <c r="A243" i="9"/>
  <c r="I243" i="9" s="1"/>
  <c r="K242" i="9"/>
  <c r="I242" i="9"/>
  <c r="G242" i="9"/>
  <c r="A242" i="9"/>
  <c r="K241" i="9"/>
  <c r="G241" i="9"/>
  <c r="A241" i="9"/>
  <c r="I241" i="9" s="1"/>
  <c r="K240" i="9"/>
  <c r="A240" i="9"/>
  <c r="K239" i="9"/>
  <c r="I239" i="9"/>
  <c r="G239" i="9"/>
  <c r="A239" i="9"/>
  <c r="K238" i="9"/>
  <c r="G238" i="9"/>
  <c r="A238" i="9"/>
  <c r="I238" i="9" s="1"/>
  <c r="K237" i="9"/>
  <c r="I237" i="9"/>
  <c r="A237" i="9"/>
  <c r="K236" i="9"/>
  <c r="I236" i="9"/>
  <c r="G236" i="9"/>
  <c r="A236" i="9"/>
  <c r="K235" i="9"/>
  <c r="I235" i="9"/>
  <c r="G235" i="9"/>
  <c r="A235" i="9"/>
  <c r="K234" i="9"/>
  <c r="A234" i="9"/>
  <c r="K233" i="9"/>
  <c r="A233" i="9"/>
  <c r="K232" i="9"/>
  <c r="I232" i="9"/>
  <c r="G232" i="9"/>
  <c r="A232" i="9"/>
  <c r="K231" i="9"/>
  <c r="A231" i="9"/>
  <c r="K230" i="9"/>
  <c r="I230" i="9"/>
  <c r="A230" i="9"/>
  <c r="K229" i="9"/>
  <c r="G229" i="9"/>
  <c r="A229" i="9"/>
  <c r="K228" i="9"/>
  <c r="I228" i="9"/>
  <c r="A228" i="9"/>
  <c r="K227" i="9"/>
  <c r="A227" i="9"/>
  <c r="A226" i="9"/>
  <c r="K225" i="9"/>
  <c r="I225" i="9"/>
  <c r="G225" i="9"/>
  <c r="A225" i="9"/>
  <c r="K224" i="9"/>
  <c r="A224" i="9"/>
  <c r="K223" i="9"/>
  <c r="I223" i="9"/>
  <c r="A223" i="9"/>
  <c r="K222" i="9"/>
  <c r="A222" i="9"/>
  <c r="K221" i="9"/>
  <c r="I221" i="9"/>
  <c r="A221" i="9"/>
  <c r="K220" i="9"/>
  <c r="A220" i="9"/>
  <c r="K218" i="9"/>
  <c r="I218" i="9"/>
  <c r="G218" i="9"/>
  <c r="A218" i="9"/>
  <c r="K217" i="9"/>
  <c r="A217" i="9"/>
  <c r="K216" i="9"/>
  <c r="A216" i="9"/>
  <c r="K215" i="9"/>
  <c r="A215" i="9"/>
  <c r="K213" i="9"/>
  <c r="I213" i="9"/>
  <c r="A213" i="9"/>
  <c r="G213" i="9" s="1"/>
  <c r="K212" i="9"/>
  <c r="A212" i="9"/>
  <c r="K211" i="9"/>
  <c r="I211" i="9"/>
  <c r="G211" i="9"/>
  <c r="A211" i="9"/>
  <c r="K210" i="9"/>
  <c r="I210" i="9"/>
  <c r="G210" i="9"/>
  <c r="A210" i="9"/>
  <c r="K209" i="9"/>
  <c r="I209" i="9"/>
  <c r="G209" i="9"/>
  <c r="A209" i="9"/>
  <c r="K208" i="9"/>
  <c r="I208" i="9"/>
  <c r="G208" i="9"/>
  <c r="A208" i="9"/>
  <c r="K207" i="9"/>
  <c r="I207" i="9"/>
  <c r="G207" i="9"/>
  <c r="A207" i="9"/>
  <c r="K206" i="9"/>
  <c r="A206" i="9"/>
  <c r="K205" i="9"/>
  <c r="I205" i="9"/>
  <c r="G205" i="9"/>
  <c r="A205" i="9"/>
  <c r="K204" i="9"/>
  <c r="G204" i="9"/>
  <c r="A204" i="9"/>
  <c r="I204" i="9" s="1"/>
  <c r="K203" i="9"/>
  <c r="I203" i="9"/>
  <c r="A203" i="9"/>
  <c r="K201" i="9"/>
  <c r="I201" i="9"/>
  <c r="G201" i="9"/>
  <c r="A201" i="9"/>
  <c r="K200" i="9"/>
  <c r="A200" i="9"/>
  <c r="K199" i="9"/>
  <c r="A199" i="9"/>
  <c r="K198" i="9"/>
  <c r="A198" i="9"/>
  <c r="K197" i="9"/>
  <c r="I197" i="9"/>
  <c r="G197" i="9"/>
  <c r="A197" i="9"/>
  <c r="K196" i="9"/>
  <c r="A196" i="9"/>
  <c r="K195" i="9"/>
  <c r="I195" i="9"/>
  <c r="A195" i="9"/>
  <c r="K194" i="9"/>
  <c r="I194" i="9"/>
  <c r="G194" i="9"/>
  <c r="A194" i="9"/>
  <c r="K193" i="9"/>
  <c r="G193" i="9"/>
  <c r="A193" i="9"/>
  <c r="K192" i="9"/>
  <c r="A192" i="9"/>
  <c r="K191" i="9"/>
  <c r="A191" i="9"/>
  <c r="K190" i="9"/>
  <c r="I190" i="9"/>
  <c r="G190" i="9"/>
  <c r="A190" i="9"/>
  <c r="K189" i="9"/>
  <c r="I189" i="9"/>
  <c r="A189" i="9"/>
  <c r="G189" i="9" s="1"/>
  <c r="K188" i="9"/>
  <c r="I188" i="9"/>
  <c r="G188" i="9"/>
  <c r="A188" i="9"/>
  <c r="K187" i="9"/>
  <c r="A187" i="9"/>
  <c r="K186" i="9"/>
  <c r="I186" i="9"/>
  <c r="A186" i="9"/>
  <c r="K184" i="9"/>
  <c r="I184" i="9"/>
  <c r="G184" i="9"/>
  <c r="A184" i="9"/>
  <c r="K183" i="9"/>
  <c r="A183" i="9"/>
  <c r="K182" i="9"/>
  <c r="I182" i="9"/>
  <c r="G182" i="9"/>
  <c r="A182" i="9"/>
  <c r="K181" i="9"/>
  <c r="G181" i="9"/>
  <c r="A181" i="9"/>
  <c r="K180" i="9"/>
  <c r="G180" i="9"/>
  <c r="A180" i="9"/>
  <c r="K179" i="9"/>
  <c r="I179" i="9"/>
  <c r="G179" i="9"/>
  <c r="A179" i="9"/>
  <c r="K178" i="9"/>
  <c r="I178" i="9"/>
  <c r="A178" i="9"/>
  <c r="G178" i="9" s="1"/>
  <c r="K177" i="9"/>
  <c r="I177" i="9"/>
  <c r="A177" i="9"/>
  <c r="G177" i="9" s="1"/>
  <c r="K176" i="9"/>
  <c r="I176" i="9"/>
  <c r="G176" i="9"/>
  <c r="A176" i="9"/>
  <c r="K175" i="9"/>
  <c r="G175" i="9"/>
  <c r="A175" i="9"/>
  <c r="K174" i="9"/>
  <c r="I174" i="9"/>
  <c r="G174" i="9"/>
  <c r="A174" i="9"/>
  <c r="K173" i="9"/>
  <c r="A173" i="9"/>
  <c r="K172" i="9"/>
  <c r="G172" i="9"/>
  <c r="A172" i="9"/>
  <c r="K171" i="9"/>
  <c r="I171" i="9"/>
  <c r="A171" i="9"/>
  <c r="K169" i="9"/>
  <c r="I169" i="9"/>
  <c r="G169" i="9"/>
  <c r="A169" i="9"/>
  <c r="K168" i="9"/>
  <c r="I168" i="9"/>
  <c r="G168" i="9"/>
  <c r="A168" i="9"/>
  <c r="K167" i="9"/>
  <c r="I167" i="9"/>
  <c r="A167" i="9"/>
  <c r="K166" i="9"/>
  <c r="A166" i="9"/>
  <c r="K165" i="9"/>
  <c r="A165" i="9"/>
  <c r="K164" i="9"/>
  <c r="G164" i="9"/>
  <c r="A164" i="9"/>
  <c r="K163" i="9"/>
  <c r="A163" i="9"/>
  <c r="K162" i="9"/>
  <c r="I162" i="9"/>
  <c r="G162" i="9"/>
  <c r="A162" i="9"/>
  <c r="K161" i="9"/>
  <c r="A161" i="9"/>
  <c r="K160" i="9"/>
  <c r="I160" i="9"/>
  <c r="G160" i="9"/>
  <c r="A160" i="9"/>
  <c r="K159" i="9"/>
  <c r="I159" i="9"/>
  <c r="G159" i="9"/>
  <c r="A159" i="9"/>
  <c r="K158" i="9"/>
  <c r="G158" i="9"/>
  <c r="A158" i="9"/>
  <c r="K157" i="9"/>
  <c r="A157" i="9"/>
  <c r="K156" i="9"/>
  <c r="A156" i="9"/>
  <c r="K155" i="9"/>
  <c r="I155" i="9"/>
  <c r="G155" i="9"/>
  <c r="A155" i="9"/>
  <c r="K154" i="9"/>
  <c r="I154" i="9"/>
  <c r="A154" i="9"/>
  <c r="G154" i="9" s="1"/>
  <c r="K153" i="9"/>
  <c r="G153" i="9"/>
  <c r="A153" i="9"/>
  <c r="K152" i="9"/>
  <c r="A152" i="9"/>
  <c r="K151" i="9"/>
  <c r="I151" i="9"/>
  <c r="A151" i="9"/>
  <c r="K150" i="9"/>
  <c r="A150" i="9"/>
  <c r="K149" i="9"/>
  <c r="G149" i="9"/>
  <c r="A149" i="9"/>
  <c r="I149" i="9" s="1"/>
  <c r="K148" i="9"/>
  <c r="I148" i="9"/>
  <c r="G148" i="9"/>
  <c r="A148" i="9"/>
  <c r="K147" i="9"/>
  <c r="I147" i="9"/>
  <c r="A147" i="9"/>
  <c r="A146" i="9" s="1"/>
  <c r="K145" i="9"/>
  <c r="G145" i="9"/>
  <c r="A145" i="9"/>
  <c r="K144" i="9"/>
  <c r="I144" i="9"/>
  <c r="G144" i="9"/>
  <c r="A144" i="9"/>
  <c r="K143" i="9"/>
  <c r="I143" i="9"/>
  <c r="A143" i="9"/>
  <c r="G143" i="9" s="1"/>
  <c r="K142" i="9"/>
  <c r="I142" i="9"/>
  <c r="A142" i="9"/>
  <c r="G142" i="9" s="1"/>
  <c r="K141" i="9"/>
  <c r="I141" i="9"/>
  <c r="G141" i="9"/>
  <c r="A141" i="9"/>
  <c r="K140" i="9"/>
  <c r="G140" i="9"/>
  <c r="A140" i="9"/>
  <c r="K139" i="9"/>
  <c r="I139" i="9"/>
  <c r="G139" i="9"/>
  <c r="A139" i="9"/>
  <c r="K138" i="9"/>
  <c r="A138" i="9"/>
  <c r="K137" i="9"/>
  <c r="I137" i="9"/>
  <c r="G137" i="9"/>
  <c r="A137" i="9"/>
  <c r="K136" i="9"/>
  <c r="I136" i="9"/>
  <c r="A136" i="9"/>
  <c r="K135" i="9"/>
  <c r="A135" i="9"/>
  <c r="K134" i="9"/>
  <c r="A134" i="9"/>
  <c r="K133" i="9"/>
  <c r="I133" i="9"/>
  <c r="G133" i="9"/>
  <c r="A133" i="9"/>
  <c r="K132" i="9"/>
  <c r="I132" i="9"/>
  <c r="G132" i="9"/>
  <c r="A132" i="9"/>
  <c r="K131" i="9"/>
  <c r="I131" i="9"/>
  <c r="A131" i="9"/>
  <c r="K130" i="9"/>
  <c r="A130" i="9"/>
  <c r="K129" i="9"/>
  <c r="A129" i="9"/>
  <c r="K128" i="9"/>
  <c r="I128" i="9"/>
  <c r="G128" i="9"/>
  <c r="A128" i="9"/>
  <c r="K126" i="9"/>
  <c r="G126" i="9"/>
  <c r="A126" i="9"/>
  <c r="K125" i="9"/>
  <c r="I125" i="9"/>
  <c r="G125" i="9"/>
  <c r="A125" i="9"/>
  <c r="K124" i="9"/>
  <c r="A124" i="9"/>
  <c r="K123" i="9"/>
  <c r="I123" i="9"/>
  <c r="G123" i="9"/>
  <c r="A123" i="9"/>
  <c r="K122" i="9"/>
  <c r="A122" i="9"/>
  <c r="G122" i="9" s="1"/>
  <c r="K121" i="9"/>
  <c r="A121" i="9"/>
  <c r="K120" i="9"/>
  <c r="I120" i="9"/>
  <c r="G120" i="9"/>
  <c r="A120" i="9"/>
  <c r="K119" i="9"/>
  <c r="I119" i="9"/>
  <c r="G119" i="9"/>
  <c r="A119" i="9"/>
  <c r="K118" i="9"/>
  <c r="I118" i="9"/>
  <c r="G118" i="9"/>
  <c r="A118" i="9"/>
  <c r="K117" i="9"/>
  <c r="I117" i="9"/>
  <c r="A117" i="9"/>
  <c r="K116" i="9"/>
  <c r="I116" i="9"/>
  <c r="G116" i="9"/>
  <c r="A116" i="9"/>
  <c r="K115" i="9"/>
  <c r="A115" i="9"/>
  <c r="K114" i="9"/>
  <c r="A114" i="9"/>
  <c r="K113" i="9"/>
  <c r="I113" i="9"/>
  <c r="G113" i="9"/>
  <c r="A113" i="9"/>
  <c r="K112" i="9"/>
  <c r="I112" i="9"/>
  <c r="G112" i="9"/>
  <c r="A112" i="9"/>
  <c r="A111" i="9"/>
  <c r="K110" i="9"/>
  <c r="G110" i="9"/>
  <c r="A110" i="9"/>
  <c r="K109" i="9"/>
  <c r="G109" i="9"/>
  <c r="A109" i="9"/>
  <c r="K108" i="9"/>
  <c r="I108" i="9"/>
  <c r="A108" i="9"/>
  <c r="G108" i="9" s="1"/>
  <c r="K107" i="9"/>
  <c r="I107" i="9"/>
  <c r="G107" i="9"/>
  <c r="A107" i="9"/>
  <c r="K106" i="9"/>
  <c r="I106" i="9"/>
  <c r="G106" i="9"/>
  <c r="A106" i="9"/>
  <c r="K105" i="9"/>
  <c r="A105" i="9"/>
  <c r="K104" i="9"/>
  <c r="A104" i="9"/>
  <c r="K103" i="9"/>
  <c r="G103" i="9"/>
  <c r="A103" i="9"/>
  <c r="K102" i="9"/>
  <c r="I102" i="9"/>
  <c r="G102" i="9"/>
  <c r="A102" i="9"/>
  <c r="K101" i="9"/>
  <c r="I101" i="9"/>
  <c r="A101" i="9"/>
  <c r="K100" i="9"/>
  <c r="I100" i="9"/>
  <c r="G100" i="9"/>
  <c r="A100" i="9"/>
  <c r="K99" i="9"/>
  <c r="I99" i="9"/>
  <c r="A99" i="9"/>
  <c r="G99" i="9" s="1"/>
  <c r="K98" i="9"/>
  <c r="A98" i="9"/>
  <c r="K97" i="9"/>
  <c r="A97" i="9"/>
  <c r="I97" i="9" s="1"/>
  <c r="K96" i="9"/>
  <c r="I96" i="9"/>
  <c r="G96" i="9"/>
  <c r="A96" i="9"/>
  <c r="K95" i="9"/>
  <c r="I95" i="9"/>
  <c r="G95" i="9"/>
  <c r="A95" i="9"/>
  <c r="A94" i="9"/>
  <c r="K93" i="9"/>
  <c r="A93" i="9"/>
  <c r="K92" i="9"/>
  <c r="I92" i="9"/>
  <c r="G92" i="9"/>
  <c r="A92" i="9"/>
  <c r="K91" i="9"/>
  <c r="G91" i="9"/>
  <c r="A91" i="9"/>
  <c r="K90" i="9"/>
  <c r="I90" i="9"/>
  <c r="G90" i="9"/>
  <c r="A90" i="9"/>
  <c r="K89" i="9"/>
  <c r="A89" i="9"/>
  <c r="A88" i="9" s="1"/>
  <c r="K87" i="9"/>
  <c r="A87" i="9"/>
  <c r="K86" i="9"/>
  <c r="A86" i="9"/>
  <c r="I86" i="9" s="1"/>
  <c r="K85" i="9"/>
  <c r="I85" i="9"/>
  <c r="G85" i="9"/>
  <c r="A85" i="9"/>
  <c r="K84" i="9"/>
  <c r="I84" i="9"/>
  <c r="G84" i="9"/>
  <c r="A84" i="9"/>
  <c r="K83" i="9"/>
  <c r="I83" i="9"/>
  <c r="A83" i="9"/>
  <c r="K82" i="9"/>
  <c r="G82" i="9"/>
  <c r="A82" i="9"/>
  <c r="K81" i="9"/>
  <c r="A81" i="9"/>
  <c r="K79" i="9"/>
  <c r="G79" i="9"/>
  <c r="A79" i="9"/>
  <c r="I79" i="9" s="1"/>
  <c r="K78" i="9"/>
  <c r="I78" i="9"/>
  <c r="G78" i="9"/>
  <c r="C78" i="9"/>
  <c r="A78" i="9"/>
  <c r="K77" i="9"/>
  <c r="I77" i="9"/>
  <c r="A77" i="9"/>
  <c r="K76" i="9"/>
  <c r="G76" i="9"/>
  <c r="A76" i="9"/>
  <c r="K75" i="9"/>
  <c r="G75" i="9"/>
  <c r="E75" i="9"/>
  <c r="A75" i="9"/>
  <c r="K74" i="9"/>
  <c r="A74" i="9"/>
  <c r="K73" i="9"/>
  <c r="G73" i="9"/>
  <c r="A73" i="9"/>
  <c r="I73" i="9" s="1"/>
  <c r="K72" i="9"/>
  <c r="G72" i="9"/>
  <c r="A72" i="9"/>
  <c r="I72" i="9" s="1"/>
  <c r="A71" i="9"/>
  <c r="K70" i="9"/>
  <c r="G70" i="9"/>
  <c r="D70" i="9"/>
  <c r="B70" i="9"/>
  <c r="A70" i="9"/>
  <c r="K69" i="9"/>
  <c r="A69" i="9"/>
  <c r="K68" i="9"/>
  <c r="A68" i="9"/>
  <c r="K67" i="9"/>
  <c r="I67" i="9"/>
  <c r="G67" i="9"/>
  <c r="A67" i="9"/>
  <c r="K66" i="9"/>
  <c r="A66" i="9"/>
  <c r="E66" i="9" s="1"/>
  <c r="I64" i="9"/>
  <c r="G64" i="9"/>
  <c r="E64" i="9"/>
  <c r="D64" i="9"/>
  <c r="C64" i="9"/>
  <c r="A64" i="9"/>
  <c r="B63" i="9"/>
  <c r="A63" i="9"/>
  <c r="G63" i="9" s="1"/>
  <c r="I62" i="9"/>
  <c r="G62" i="9"/>
  <c r="E62" i="9"/>
  <c r="D62" i="9"/>
  <c r="C62" i="9"/>
  <c r="A62" i="9"/>
  <c r="E61" i="9"/>
  <c r="A61" i="9"/>
  <c r="I60" i="9"/>
  <c r="G60" i="9"/>
  <c r="E60" i="9"/>
  <c r="D60" i="9"/>
  <c r="A60" i="9"/>
  <c r="C60" i="9" s="1"/>
  <c r="A59" i="9"/>
  <c r="C58" i="9"/>
  <c r="A58" i="9"/>
  <c r="I57" i="9"/>
  <c r="C57" i="9"/>
  <c r="A57" i="9"/>
  <c r="I56" i="9"/>
  <c r="G56" i="9"/>
  <c r="E56" i="9"/>
  <c r="D56" i="9"/>
  <c r="C56" i="9"/>
  <c r="A56" i="9"/>
  <c r="A55" i="9"/>
  <c r="A52" i="9"/>
  <c r="A51" i="9"/>
  <c r="A50" i="9"/>
  <c r="A49" i="9"/>
  <c r="A48" i="9"/>
  <c r="A47" i="9"/>
  <c r="G39" i="9"/>
  <c r="C39" i="9"/>
  <c r="G38" i="9"/>
  <c r="C38" i="9"/>
  <c r="G37" i="9"/>
  <c r="C37" i="9"/>
  <c r="B37" i="9"/>
  <c r="G36" i="9"/>
  <c r="C36" i="9"/>
  <c r="B36" i="9"/>
  <c r="C35" i="9"/>
  <c r="B35" i="9"/>
  <c r="G35" i="9" s="1"/>
  <c r="G34" i="9"/>
  <c r="C34" i="9"/>
  <c r="B34" i="9"/>
  <c r="G33" i="9"/>
  <c r="C33" i="9"/>
  <c r="B33" i="9"/>
  <c r="G32" i="9"/>
  <c r="C32" i="9"/>
  <c r="B32" i="9"/>
  <c r="G31" i="9"/>
  <c r="C31" i="9"/>
  <c r="B31" i="9"/>
  <c r="C30" i="9"/>
  <c r="B30" i="9"/>
  <c r="G30" i="9" s="1"/>
  <c r="G29" i="9"/>
  <c r="C29" i="9"/>
  <c r="B29" i="9"/>
  <c r="C28" i="9"/>
  <c r="B28" i="9"/>
  <c r="G28" i="9" s="1"/>
  <c r="G27" i="9"/>
  <c r="C27" i="9"/>
  <c r="B27" i="9"/>
  <c r="G26" i="9"/>
  <c r="C26" i="9"/>
  <c r="B26" i="9"/>
  <c r="C25" i="9"/>
  <c r="B25" i="9"/>
  <c r="G25" i="9" s="1"/>
  <c r="G24" i="9"/>
  <c r="C24" i="9"/>
  <c r="B24" i="9"/>
  <c r="C23" i="9"/>
  <c r="B23" i="9"/>
  <c r="G23" i="9" s="1"/>
  <c r="G22" i="9"/>
  <c r="C22" i="9"/>
  <c r="B22" i="9"/>
  <c r="G21" i="9"/>
  <c r="C21" i="9"/>
  <c r="B21" i="9"/>
  <c r="C17" i="9"/>
  <c r="A10" i="9"/>
  <c r="A9" i="9"/>
  <c r="A8" i="9"/>
  <c r="A7" i="9"/>
  <c r="A6" i="9"/>
  <c r="A5" i="9"/>
  <c r="I2" i="9"/>
  <c r="A107" i="8"/>
  <c r="A106" i="8"/>
  <c r="A105" i="8"/>
  <c r="A104" i="8"/>
  <c r="A103" i="8"/>
  <c r="A102" i="8"/>
  <c r="A101" i="8"/>
  <c r="F97" i="8"/>
  <c r="B97" i="8"/>
  <c r="F96" i="8"/>
  <c r="B96" i="8"/>
  <c r="B95" i="8"/>
  <c r="F94" i="8"/>
  <c r="B94" i="8"/>
  <c r="F93" i="8"/>
  <c r="B93" i="8"/>
  <c r="F92" i="8"/>
  <c r="B92" i="8"/>
  <c r="F91" i="8"/>
  <c r="B91" i="8"/>
  <c r="F90" i="8"/>
  <c r="B90" i="8"/>
  <c r="A89" i="8"/>
  <c r="F88" i="8"/>
  <c r="E88" i="8"/>
  <c r="B88" i="8"/>
  <c r="F87" i="8"/>
  <c r="E87" i="8"/>
  <c r="B87" i="8"/>
  <c r="F86" i="8"/>
  <c r="E86" i="8"/>
  <c r="B86" i="8"/>
  <c r="E85" i="8"/>
  <c r="B85" i="8"/>
  <c r="F84" i="8"/>
  <c r="E84" i="8"/>
  <c r="B84" i="8"/>
  <c r="F83" i="8"/>
  <c r="E83" i="8"/>
  <c r="B83" i="8"/>
  <c r="F82" i="8"/>
  <c r="E82" i="8"/>
  <c r="B82" i="8"/>
  <c r="F81" i="8"/>
  <c r="E81" i="8"/>
  <c r="B81" i="8"/>
  <c r="F80" i="8"/>
  <c r="E80" i="8"/>
  <c r="B80" i="8"/>
  <c r="F79" i="8"/>
  <c r="E79" i="8"/>
  <c r="B79" i="8"/>
  <c r="F78" i="8"/>
  <c r="E78" i="8"/>
  <c r="B78" i="8"/>
  <c r="F77" i="8"/>
  <c r="E77" i="8"/>
  <c r="B77" i="8"/>
  <c r="F76" i="8"/>
  <c r="E76" i="8"/>
  <c r="B76" i="8"/>
  <c r="F75" i="8"/>
  <c r="E75" i="8"/>
  <c r="B75" i="8"/>
  <c r="F74" i="8"/>
  <c r="E74" i="8"/>
  <c r="B74" i="8"/>
  <c r="A73" i="8"/>
  <c r="F72" i="8"/>
  <c r="E72" i="8"/>
  <c r="B72" i="8"/>
  <c r="F71" i="8"/>
  <c r="E71" i="8"/>
  <c r="B71" i="8"/>
  <c r="F70" i="8"/>
  <c r="E70" i="8"/>
  <c r="B70" i="8"/>
  <c r="F69" i="8"/>
  <c r="E69" i="8"/>
  <c r="B69" i="8"/>
  <c r="F68" i="8"/>
  <c r="E68" i="8"/>
  <c r="B68" i="8"/>
  <c r="A67" i="8"/>
  <c r="F66" i="8"/>
  <c r="E66" i="8"/>
  <c r="B66" i="8"/>
  <c r="F65" i="8"/>
  <c r="E65" i="8"/>
  <c r="B65" i="8"/>
  <c r="F64" i="8"/>
  <c r="E64" i="8"/>
  <c r="B64" i="8"/>
  <c r="F63" i="8"/>
  <c r="E63" i="8"/>
  <c r="B63" i="8"/>
  <c r="F62" i="8"/>
  <c r="E62" i="8"/>
  <c r="B62" i="8"/>
  <c r="F61" i="8"/>
  <c r="E61" i="8"/>
  <c r="B61" i="8"/>
  <c r="F60" i="8"/>
  <c r="E60" i="8"/>
  <c r="B60" i="8"/>
  <c r="F59" i="8"/>
  <c r="E59" i="8"/>
  <c r="B59" i="8"/>
  <c r="F58" i="8"/>
  <c r="E58" i="8"/>
  <c r="B58" i="8"/>
  <c r="F57" i="8"/>
  <c r="E57" i="8"/>
  <c r="B57" i="8"/>
  <c r="F56" i="8"/>
  <c r="E56" i="8"/>
  <c r="B56" i="8"/>
  <c r="F55" i="8"/>
  <c r="E55" i="8"/>
  <c r="B55" i="8"/>
  <c r="F54" i="8"/>
  <c r="E54" i="8"/>
  <c r="B54" i="8"/>
  <c r="A53" i="8"/>
  <c r="F52" i="8"/>
  <c r="E52" i="8"/>
  <c r="B52" i="8"/>
  <c r="F51" i="8"/>
  <c r="E51" i="8"/>
  <c r="B51" i="8"/>
  <c r="F50" i="8"/>
  <c r="E50" i="8"/>
  <c r="B50" i="8"/>
  <c r="F49" i="8"/>
  <c r="E49" i="8"/>
  <c r="B49" i="8"/>
  <c r="F48" i="8"/>
  <c r="E48" i="8"/>
  <c r="B48" i="8"/>
  <c r="F47" i="8"/>
  <c r="E47" i="8"/>
  <c r="B47" i="8"/>
  <c r="F46" i="8"/>
  <c r="E46" i="8"/>
  <c r="B46" i="8"/>
  <c r="F45" i="8"/>
  <c r="E45" i="8"/>
  <c r="B45" i="8"/>
  <c r="A44" i="8"/>
  <c r="F43" i="8"/>
  <c r="E43" i="8"/>
  <c r="B43" i="8"/>
  <c r="F42" i="8"/>
  <c r="E42" i="8"/>
  <c r="B42" i="8"/>
  <c r="A41" i="8"/>
  <c r="F40" i="8"/>
  <c r="E40" i="8"/>
  <c r="B40" i="8"/>
  <c r="F39" i="8"/>
  <c r="E39" i="8"/>
  <c r="B39" i="8"/>
  <c r="A38" i="8"/>
  <c r="F37" i="8"/>
  <c r="E37" i="8"/>
  <c r="B37" i="8"/>
  <c r="F36" i="8"/>
  <c r="E36" i="8"/>
  <c r="B36" i="8"/>
  <c r="F35" i="8"/>
  <c r="E35" i="8"/>
  <c r="B35" i="8"/>
  <c r="A34" i="8"/>
  <c r="F33" i="8"/>
  <c r="E33" i="8"/>
  <c r="B33" i="8"/>
  <c r="F32" i="8"/>
  <c r="E32" i="8"/>
  <c r="B32" i="8"/>
  <c r="F31" i="8"/>
  <c r="E31" i="8"/>
  <c r="B31" i="8"/>
  <c r="F30" i="8"/>
  <c r="E30" i="8"/>
  <c r="B30" i="8"/>
  <c r="A29" i="8"/>
  <c r="F28" i="8"/>
  <c r="E28" i="8"/>
  <c r="B28" i="8"/>
  <c r="F27" i="8"/>
  <c r="E27" i="8"/>
  <c r="B27" i="8"/>
  <c r="F26" i="8"/>
  <c r="E26" i="8"/>
  <c r="B26" i="8"/>
  <c r="F25" i="8"/>
  <c r="E25" i="8"/>
  <c r="B25" i="8"/>
  <c r="F24" i="8"/>
  <c r="E24" i="8"/>
  <c r="B24" i="8"/>
  <c r="A23" i="8"/>
  <c r="B22" i="8"/>
  <c r="D21" i="8"/>
  <c r="B21" i="8"/>
  <c r="B20" i="8"/>
  <c r="B19" i="8"/>
  <c r="A18" i="8"/>
  <c r="C17" i="8"/>
  <c r="B17" i="8"/>
  <c r="C16" i="8"/>
  <c r="B16" i="8"/>
  <c r="C15" i="8"/>
  <c r="B15" i="8"/>
  <c r="C14" i="8"/>
  <c r="B14" i="8"/>
  <c r="C13" i="8"/>
  <c r="B13" i="8"/>
  <c r="A12" i="8"/>
  <c r="A11" i="8"/>
  <c r="A10" i="8"/>
  <c r="A9" i="8"/>
  <c r="A8" i="8"/>
  <c r="A7" i="8"/>
  <c r="A6" i="8"/>
  <c r="A5" i="8"/>
  <c r="C3" i="8"/>
  <c r="F2" i="8"/>
  <c r="A65" i="7"/>
  <c r="A64" i="7"/>
  <c r="A63" i="7"/>
  <c r="A62" i="7"/>
  <c r="A61" i="7"/>
  <c r="A60" i="7"/>
  <c r="A59" i="7"/>
  <c r="B55" i="7"/>
  <c r="B54" i="7"/>
  <c r="B53" i="7"/>
  <c r="B52" i="7"/>
  <c r="B51" i="7"/>
  <c r="B50" i="7"/>
  <c r="A49" i="7"/>
  <c r="B48" i="7"/>
  <c r="B47" i="7"/>
  <c r="B46" i="7"/>
  <c r="B45" i="7"/>
  <c r="B44" i="7"/>
  <c r="B43" i="7"/>
  <c r="B42" i="7"/>
  <c r="B41" i="7"/>
  <c r="A40" i="7"/>
  <c r="B39" i="7"/>
  <c r="B38" i="7"/>
  <c r="B37" i="7"/>
  <c r="B36" i="7"/>
  <c r="B35" i="7"/>
  <c r="A34" i="7"/>
  <c r="B33" i="7"/>
  <c r="B32" i="7"/>
  <c r="B31" i="7"/>
  <c r="B30" i="7"/>
  <c r="B29" i="7"/>
  <c r="A28" i="7"/>
  <c r="B27" i="7"/>
  <c r="B26" i="7"/>
  <c r="B25" i="7"/>
  <c r="B24" i="7"/>
  <c r="B23" i="7"/>
  <c r="A22" i="7"/>
  <c r="B21" i="7"/>
  <c r="B20" i="7"/>
  <c r="A19" i="7"/>
  <c r="D18" i="7"/>
  <c r="B18" i="7"/>
  <c r="A17" i="7"/>
  <c r="C329" i="9" s="1"/>
  <c r="C16" i="7"/>
  <c r="B16" i="7"/>
  <c r="C15" i="7"/>
  <c r="B15" i="7"/>
  <c r="C14" i="7"/>
  <c r="B14" i="7"/>
  <c r="C13" i="7"/>
  <c r="B13" i="7"/>
  <c r="A12" i="7"/>
  <c r="A11" i="7"/>
  <c r="A10" i="7"/>
  <c r="A9" i="7"/>
  <c r="A8" i="7"/>
  <c r="A7" i="7"/>
  <c r="A6" i="7"/>
  <c r="A5" i="7"/>
  <c r="C3" i="7"/>
  <c r="F2" i="7"/>
  <c r="A94" i="6"/>
  <c r="A93" i="6"/>
  <c r="A92" i="6"/>
  <c r="A91" i="6"/>
  <c r="A90" i="6"/>
  <c r="A89" i="6"/>
  <c r="A88" i="6"/>
  <c r="B85" i="6"/>
  <c r="B84" i="6"/>
  <c r="B83" i="6"/>
  <c r="B82" i="6"/>
  <c r="B81" i="6"/>
  <c r="B80" i="6"/>
  <c r="B79" i="6"/>
  <c r="B78" i="6"/>
  <c r="B77" i="6"/>
  <c r="B76" i="6"/>
  <c r="A75" i="6"/>
  <c r="B74" i="6"/>
  <c r="B73" i="6"/>
  <c r="B72" i="6"/>
  <c r="B71" i="6"/>
  <c r="B70" i="6"/>
  <c r="B69" i="6"/>
  <c r="B68" i="6"/>
  <c r="B67" i="6"/>
  <c r="B66" i="6"/>
  <c r="B65" i="6"/>
  <c r="B64" i="6"/>
  <c r="B63" i="6"/>
  <c r="A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A32" i="6"/>
  <c r="B31" i="6"/>
  <c r="B30" i="6"/>
  <c r="B29" i="6"/>
  <c r="B28" i="6"/>
  <c r="B27" i="6"/>
  <c r="B26" i="6"/>
  <c r="B25" i="6"/>
  <c r="B24" i="6"/>
  <c r="B23" i="6"/>
  <c r="A22" i="6"/>
  <c r="B21" i="6"/>
  <c r="D20" i="6"/>
  <c r="C20" i="6"/>
  <c r="E71" i="6" s="1"/>
  <c r="B20" i="6"/>
  <c r="D19" i="6"/>
  <c r="B19" i="6"/>
  <c r="B18" i="6"/>
  <c r="A17" i="6"/>
  <c r="C305" i="9" s="1"/>
  <c r="C16" i="6"/>
  <c r="B16" i="6"/>
  <c r="C15" i="6"/>
  <c r="B15" i="6"/>
  <c r="C14" i="6"/>
  <c r="B14" i="6"/>
  <c r="C13" i="6"/>
  <c r="B13" i="6"/>
  <c r="A12" i="6"/>
  <c r="A11" i="6"/>
  <c r="A10" i="6"/>
  <c r="A9" i="6"/>
  <c r="A8" i="6"/>
  <c r="A7" i="6"/>
  <c r="A6" i="6"/>
  <c r="A5" i="6"/>
  <c r="C3" i="6"/>
  <c r="F2" i="6"/>
  <c r="A47" i="5"/>
  <c r="A46" i="5"/>
  <c r="A45" i="5"/>
  <c r="A44" i="5"/>
  <c r="A43" i="5"/>
  <c r="A42" i="5"/>
  <c r="A41" i="5"/>
  <c r="B37" i="5"/>
  <c r="B36" i="5"/>
  <c r="B35" i="5"/>
  <c r="B34" i="5"/>
  <c r="B33" i="5"/>
  <c r="B32" i="5"/>
  <c r="B31" i="5"/>
  <c r="B30" i="5"/>
  <c r="B29" i="5"/>
  <c r="B28" i="5"/>
  <c r="B27" i="5"/>
  <c r="B26" i="5"/>
  <c r="B25" i="5"/>
  <c r="B24" i="5"/>
  <c r="B23" i="5"/>
  <c r="B22" i="5"/>
  <c r="B21" i="5"/>
  <c r="B20" i="5"/>
  <c r="A19" i="5"/>
  <c r="B18" i="5"/>
  <c r="A17" i="5"/>
  <c r="C16" i="5"/>
  <c r="B16" i="5"/>
  <c r="C15" i="5"/>
  <c r="B15" i="5"/>
  <c r="C14" i="5"/>
  <c r="B14" i="5"/>
  <c r="C13" i="5"/>
  <c r="B13" i="5"/>
  <c r="A12" i="5"/>
  <c r="A11" i="5"/>
  <c r="A10" i="5"/>
  <c r="A9" i="5"/>
  <c r="A8" i="5"/>
  <c r="A7" i="5"/>
  <c r="A6" i="5"/>
  <c r="A5" i="5"/>
  <c r="C3" i="5"/>
  <c r="F2" i="5"/>
  <c r="A84" i="4"/>
  <c r="A83" i="4"/>
  <c r="A82" i="4"/>
  <c r="A81" i="4"/>
  <c r="A80" i="4"/>
  <c r="A79" i="4"/>
  <c r="A78" i="4"/>
  <c r="B74" i="4"/>
  <c r="B73" i="4"/>
  <c r="B72" i="4"/>
  <c r="B71" i="4"/>
  <c r="B70" i="4"/>
  <c r="B69" i="4"/>
  <c r="A68" i="4"/>
  <c r="B67" i="4"/>
  <c r="B66" i="4"/>
  <c r="B65" i="4"/>
  <c r="B64" i="4"/>
  <c r="A63" i="4"/>
  <c r="B62" i="4"/>
  <c r="B61" i="4"/>
  <c r="B60" i="4"/>
  <c r="B59" i="4"/>
  <c r="B58" i="4"/>
  <c r="B57" i="4"/>
  <c r="B56" i="4"/>
  <c r="B55" i="4"/>
  <c r="B54" i="4"/>
  <c r="B53" i="4"/>
  <c r="B52" i="4"/>
  <c r="A51" i="4"/>
  <c r="E50" i="4"/>
  <c r="B50" i="4"/>
  <c r="E49" i="4"/>
  <c r="B49" i="4"/>
  <c r="E48" i="4"/>
  <c r="B48" i="4"/>
  <c r="E47" i="4"/>
  <c r="B47" i="4"/>
  <c r="E46" i="4"/>
  <c r="B46" i="4"/>
  <c r="E45" i="4"/>
  <c r="B45" i="4"/>
  <c r="E44" i="4"/>
  <c r="B44" i="4"/>
  <c r="E43" i="4"/>
  <c r="B43" i="4"/>
  <c r="E42" i="4"/>
  <c r="B42" i="4"/>
  <c r="E41" i="4"/>
  <c r="B41" i="4"/>
  <c r="E40" i="4"/>
  <c r="B40" i="4"/>
  <c r="E39" i="4"/>
  <c r="B39" i="4"/>
  <c r="E38" i="4"/>
  <c r="B38" i="4"/>
  <c r="E37" i="4"/>
  <c r="B37" i="4"/>
  <c r="E36" i="4"/>
  <c r="B36" i="4"/>
  <c r="E35" i="4"/>
  <c r="B35" i="4"/>
  <c r="A34" i="4"/>
  <c r="B33" i="4"/>
  <c r="B32" i="4"/>
  <c r="B31" i="4"/>
  <c r="B30" i="4"/>
  <c r="B29" i="4"/>
  <c r="B28" i="4"/>
  <c r="B27" i="4"/>
  <c r="B26" i="4"/>
  <c r="B25" i="4"/>
  <c r="B24" i="4"/>
  <c r="B23" i="4"/>
  <c r="B22" i="4"/>
  <c r="B21" i="4"/>
  <c r="B20" i="4"/>
  <c r="A19" i="4"/>
  <c r="B199" i="9" s="1"/>
  <c r="D18" i="4"/>
  <c r="B18" i="4"/>
  <c r="A17" i="4"/>
  <c r="C207" i="9" s="1"/>
  <c r="C16" i="4"/>
  <c r="B16" i="4"/>
  <c r="C15" i="4"/>
  <c r="B15" i="4"/>
  <c r="C14" i="4"/>
  <c r="B14" i="4"/>
  <c r="C13" i="4"/>
  <c r="B13" i="4"/>
  <c r="A12" i="4"/>
  <c r="A11" i="4"/>
  <c r="A10" i="4"/>
  <c r="A9" i="4"/>
  <c r="A8" i="4"/>
  <c r="A7" i="4"/>
  <c r="A6" i="4"/>
  <c r="A5" i="4"/>
  <c r="C3" i="4"/>
  <c r="F2" i="4"/>
  <c r="A72" i="3"/>
  <c r="A71" i="3"/>
  <c r="A70" i="3"/>
  <c r="A69" i="3"/>
  <c r="A68" i="3"/>
  <c r="A67" i="3"/>
  <c r="A66" i="3"/>
  <c r="B61" i="3"/>
  <c r="B60" i="3"/>
  <c r="B59" i="3"/>
  <c r="B58" i="3"/>
  <c r="B57" i="3"/>
  <c r="B56" i="3"/>
  <c r="B55" i="3"/>
  <c r="B54" i="3"/>
  <c r="B53" i="3"/>
  <c r="B52" i="3"/>
  <c r="E51" i="3"/>
  <c r="B51" i="3"/>
  <c r="B50" i="3"/>
  <c r="B49" i="3"/>
  <c r="B48" i="3"/>
  <c r="B47" i="3"/>
  <c r="B46" i="3"/>
  <c r="B45" i="3"/>
  <c r="B44" i="3"/>
  <c r="B43" i="3"/>
  <c r="B42" i="3"/>
  <c r="B41" i="3"/>
  <c r="B40" i="3"/>
  <c r="B39" i="3"/>
  <c r="A38" i="3"/>
  <c r="B37" i="3"/>
  <c r="E36" i="3"/>
  <c r="B36" i="3"/>
  <c r="B35" i="3"/>
  <c r="B34" i="3"/>
  <c r="E33" i="3"/>
  <c r="B33" i="3"/>
  <c r="B32" i="3"/>
  <c r="B31" i="3"/>
  <c r="B30" i="3"/>
  <c r="B29" i="3"/>
  <c r="B28" i="3"/>
  <c r="B27" i="3"/>
  <c r="B26" i="3"/>
  <c r="B25" i="3"/>
  <c r="E24" i="3"/>
  <c r="B24" i="3"/>
  <c r="E23" i="3"/>
  <c r="B23" i="3"/>
  <c r="E22" i="3"/>
  <c r="B22" i="3"/>
  <c r="E21" i="3"/>
  <c r="B21" i="3"/>
  <c r="B20" i="3"/>
  <c r="A19" i="3"/>
  <c r="C166" i="9" s="1"/>
  <c r="B18" i="3"/>
  <c r="A17" i="3"/>
  <c r="C159" i="9" s="1"/>
  <c r="C16" i="3"/>
  <c r="B16" i="3"/>
  <c r="C15" i="3"/>
  <c r="B15" i="3"/>
  <c r="C14" i="3"/>
  <c r="B14" i="3"/>
  <c r="C13" i="3"/>
  <c r="B13" i="3"/>
  <c r="A12" i="3"/>
  <c r="A11" i="3"/>
  <c r="A10" i="3"/>
  <c r="A9" i="3"/>
  <c r="A8" i="3"/>
  <c r="A7" i="3"/>
  <c r="A6" i="3"/>
  <c r="A5" i="3"/>
  <c r="C3" i="3"/>
  <c r="F2" i="3"/>
  <c r="A77" i="2"/>
  <c r="A76" i="2"/>
  <c r="A75" i="2"/>
  <c r="A74" i="2"/>
  <c r="A73" i="2"/>
  <c r="A72" i="2"/>
  <c r="A71" i="2"/>
  <c r="E67" i="2"/>
  <c r="B67" i="2"/>
  <c r="E66" i="2"/>
  <c r="B66" i="2"/>
  <c r="E65" i="2"/>
  <c r="B65" i="2"/>
  <c r="E64" i="2"/>
  <c r="B64" i="2"/>
  <c r="E63" i="2"/>
  <c r="B63" i="2"/>
  <c r="E62" i="2"/>
  <c r="B62" i="2"/>
  <c r="E61" i="2"/>
  <c r="B61" i="2"/>
  <c r="E60" i="2"/>
  <c r="B60" i="2"/>
  <c r="E59" i="2"/>
  <c r="B59" i="2"/>
  <c r="E58" i="2"/>
  <c r="B58" i="2"/>
  <c r="E57" i="2"/>
  <c r="B57" i="2"/>
  <c r="E56" i="2"/>
  <c r="B56" i="2"/>
  <c r="E55" i="2"/>
  <c r="B55" i="2"/>
  <c r="E54" i="2"/>
  <c r="B54" i="2"/>
  <c r="E53" i="2"/>
  <c r="B53" i="2"/>
  <c r="A52" i="2"/>
  <c r="E51" i="2"/>
  <c r="B51" i="2"/>
  <c r="E50" i="2"/>
  <c r="B50" i="2"/>
  <c r="E49" i="2"/>
  <c r="B49" i="2"/>
  <c r="E48" i="2"/>
  <c r="B48" i="2"/>
  <c r="E47" i="2"/>
  <c r="B47" i="2"/>
  <c r="E46" i="2"/>
  <c r="B46" i="2"/>
  <c r="E45" i="2"/>
  <c r="B45" i="2"/>
  <c r="E44" i="2"/>
  <c r="B44" i="2"/>
  <c r="E43" i="2"/>
  <c r="B43" i="2"/>
  <c r="E42" i="2"/>
  <c r="B42" i="2"/>
  <c r="E41" i="2"/>
  <c r="B41" i="2"/>
  <c r="E40" i="2"/>
  <c r="B40" i="2"/>
  <c r="E39" i="2"/>
  <c r="B39" i="2"/>
  <c r="E38" i="2"/>
  <c r="B38" i="2"/>
  <c r="E37" i="2"/>
  <c r="B37" i="2"/>
  <c r="E36" i="2"/>
  <c r="B36" i="2"/>
  <c r="A35" i="2"/>
  <c r="E34" i="2"/>
  <c r="B34" i="2"/>
  <c r="E33" i="2"/>
  <c r="B33" i="2"/>
  <c r="E32" i="2"/>
  <c r="B32" i="2"/>
  <c r="E31" i="2"/>
  <c r="B31" i="2"/>
  <c r="E30" i="2"/>
  <c r="B30" i="2"/>
  <c r="A29" i="2"/>
  <c r="E28" i="2"/>
  <c r="B28" i="2"/>
  <c r="E27" i="2"/>
  <c r="B27" i="2"/>
  <c r="E26" i="2"/>
  <c r="B26" i="2"/>
  <c r="E25" i="2"/>
  <c r="B25" i="2"/>
  <c r="E24" i="2"/>
  <c r="B24" i="2"/>
  <c r="E23" i="2"/>
  <c r="B23" i="2"/>
  <c r="E22" i="2"/>
  <c r="B22" i="2"/>
  <c r="A21" i="2"/>
  <c r="B120" i="9" s="1"/>
  <c r="C20" i="2"/>
  <c r="B20" i="2"/>
  <c r="C19" i="2"/>
  <c r="B19" i="2"/>
  <c r="C18" i="2"/>
  <c r="B18" i="2"/>
  <c r="C17" i="2"/>
  <c r="B17" i="2"/>
  <c r="C16" i="2"/>
  <c r="B16" i="2"/>
  <c r="C15" i="2"/>
  <c r="B15" i="2"/>
  <c r="C14" i="2"/>
  <c r="B14" i="2"/>
  <c r="C13" i="2"/>
  <c r="B13" i="2"/>
  <c r="A12" i="2"/>
  <c r="A11" i="2"/>
  <c r="A10" i="2"/>
  <c r="A9" i="2"/>
  <c r="A8" i="2"/>
  <c r="A7" i="2"/>
  <c r="A6" i="2"/>
  <c r="A5" i="2"/>
  <c r="C3" i="2"/>
  <c r="F2" i="2"/>
  <c r="E36" i="1"/>
  <c r="B36" i="1"/>
  <c r="E35" i="1"/>
  <c r="B35" i="1"/>
  <c r="E34" i="1"/>
  <c r="B34" i="1"/>
  <c r="E33" i="1"/>
  <c r="B33" i="1"/>
  <c r="E32" i="1"/>
  <c r="B32" i="1"/>
  <c r="E31" i="1"/>
  <c r="B31" i="1"/>
  <c r="E30" i="1"/>
  <c r="B30" i="1"/>
  <c r="B73" i="9" s="1"/>
  <c r="E29" i="1"/>
  <c r="B29" i="1"/>
  <c r="A28" i="1"/>
  <c r="C21" i="8" s="1"/>
  <c r="E21" i="8" s="1"/>
  <c r="E27" i="1"/>
  <c r="B27" i="1"/>
  <c r="E26" i="1"/>
  <c r="B26" i="1"/>
  <c r="E25" i="1"/>
  <c r="B25" i="1"/>
  <c r="E24" i="1"/>
  <c r="B24" i="1"/>
  <c r="E23" i="1"/>
  <c r="B23" i="1"/>
  <c r="A22" i="1"/>
  <c r="D78" i="9" s="1"/>
  <c r="B21" i="1"/>
  <c r="B20" i="1"/>
  <c r="B19" i="1"/>
  <c r="B62" i="9" s="1"/>
  <c r="B18" i="1"/>
  <c r="B17" i="1"/>
  <c r="A13" i="9" s="1"/>
  <c r="C13" i="9" s="1"/>
  <c r="B16" i="1"/>
  <c r="A12" i="9" s="1"/>
  <c r="C12" i="9" s="1"/>
  <c r="B15" i="1"/>
  <c r="A16" i="9" s="1"/>
  <c r="C16" i="9" s="1"/>
  <c r="B14" i="1"/>
  <c r="A15" i="9" s="1"/>
  <c r="C15" i="9" s="1"/>
  <c r="B13" i="1"/>
  <c r="B56" i="9" s="1"/>
  <c r="A12" i="1"/>
  <c r="A11" i="1"/>
  <c r="A10" i="1"/>
  <c r="A9" i="1"/>
  <c r="A8" i="1"/>
  <c r="A7" i="1"/>
  <c r="A6" i="1"/>
  <c r="A5" i="1"/>
  <c r="F2" i="1"/>
  <c r="E67" i="6" l="1"/>
  <c r="P9" i="15"/>
  <c r="C68" i="9"/>
  <c r="I68" i="9"/>
  <c r="I81" i="9"/>
  <c r="G81" i="9"/>
  <c r="C81" i="9"/>
  <c r="B89" i="9"/>
  <c r="C91" i="9"/>
  <c r="C99" i="9"/>
  <c r="E101" i="9"/>
  <c r="D106" i="9"/>
  <c r="D108" i="9"/>
  <c r="D116" i="9"/>
  <c r="C123" i="9"/>
  <c r="D125" i="9"/>
  <c r="C131" i="9"/>
  <c r="B139" i="9"/>
  <c r="B144" i="9"/>
  <c r="I150" i="9"/>
  <c r="C150" i="9"/>
  <c r="C153" i="9"/>
  <c r="B153" i="9"/>
  <c r="C174" i="9"/>
  <c r="C179" i="9"/>
  <c r="C184" i="9"/>
  <c r="D188" i="9"/>
  <c r="G196" i="9"/>
  <c r="E196" i="9"/>
  <c r="D196" i="9"/>
  <c r="C208" i="9"/>
  <c r="B222" i="9"/>
  <c r="C234" i="9"/>
  <c r="B234" i="9"/>
  <c r="B249" i="9"/>
  <c r="C252" i="9"/>
  <c r="B283" i="9"/>
  <c r="C119" i="11"/>
  <c r="C117" i="11"/>
  <c r="C115" i="11"/>
  <c r="C113" i="11"/>
  <c r="D110" i="11"/>
  <c r="D108" i="11"/>
  <c r="D106" i="11"/>
  <c r="D104" i="11"/>
  <c r="D102" i="11"/>
  <c r="D100" i="11"/>
  <c r="D98" i="11"/>
  <c r="E95" i="11"/>
  <c r="E93" i="11"/>
  <c r="E91" i="11"/>
  <c r="C110" i="11"/>
  <c r="C108" i="11"/>
  <c r="C106" i="11"/>
  <c r="C104" i="11"/>
  <c r="C102" i="11"/>
  <c r="C100" i="11"/>
  <c r="C98" i="11"/>
  <c r="D95" i="11"/>
  <c r="D93" i="11"/>
  <c r="D91" i="11"/>
  <c r="E88" i="11"/>
  <c r="E86" i="11"/>
  <c r="E84" i="11"/>
  <c r="E82" i="11"/>
  <c r="D105" i="11"/>
  <c r="E98" i="11"/>
  <c r="E87" i="11"/>
  <c r="D85" i="11"/>
  <c r="C83" i="11"/>
  <c r="C74" i="11"/>
  <c r="C72" i="11"/>
  <c r="C70" i="11"/>
  <c r="C68" i="11"/>
  <c r="D65" i="11"/>
  <c r="E62" i="11"/>
  <c r="D109" i="11"/>
  <c r="E102" i="11"/>
  <c r="E94" i="11"/>
  <c r="C92" i="11"/>
  <c r="D111" i="11"/>
  <c r="E104" i="11"/>
  <c r="D97" i="11"/>
  <c r="C94" i="11"/>
  <c r="D84" i="11"/>
  <c r="C82" i="11"/>
  <c r="C80" i="11"/>
  <c r="C78" i="11"/>
  <c r="D75" i="11"/>
  <c r="D73" i="11"/>
  <c r="D71" i="11"/>
  <c r="D69" i="11"/>
  <c r="E66" i="11"/>
  <c r="C114" i="11"/>
  <c r="C111" i="11"/>
  <c r="E99" i="11"/>
  <c r="C97" i="11"/>
  <c r="C116" i="11"/>
  <c r="E106" i="11"/>
  <c r="D99" i="11"/>
  <c r="E103" i="11"/>
  <c r="C101" i="11"/>
  <c r="C93" i="11"/>
  <c r="E81" i="11"/>
  <c r="E79" i="11"/>
  <c r="E77" i="11"/>
  <c r="E105" i="11"/>
  <c r="C103" i="11"/>
  <c r="C95" i="11"/>
  <c r="E85" i="11"/>
  <c r="D83" i="11"/>
  <c r="C81" i="11"/>
  <c r="C79" i="11"/>
  <c r="C77" i="11"/>
  <c r="D74" i="11"/>
  <c r="D72" i="11"/>
  <c r="D70" i="11"/>
  <c r="D68" i="11"/>
  <c r="E65" i="11"/>
  <c r="C107" i="11"/>
  <c r="D101" i="11"/>
  <c r="C86" i="11"/>
  <c r="D78" i="11"/>
  <c r="E72" i="11"/>
  <c r="D66" i="11"/>
  <c r="C63" i="11"/>
  <c r="C60" i="11"/>
  <c r="C58" i="11"/>
  <c r="D55" i="11"/>
  <c r="D53" i="11"/>
  <c r="E50" i="11"/>
  <c r="E48" i="11"/>
  <c r="E109" i="11"/>
  <c r="D94" i="11"/>
  <c r="D88" i="11"/>
  <c r="E83" i="11"/>
  <c r="C118" i="11"/>
  <c r="D103" i="11"/>
  <c r="E111" i="11"/>
  <c r="E100" i="11"/>
  <c r="E97" i="11"/>
  <c r="C85" i="11"/>
  <c r="D77" i="11"/>
  <c r="E71" i="11"/>
  <c r="D62" i="11"/>
  <c r="E59" i="11"/>
  <c r="D82" i="11"/>
  <c r="C71" i="11"/>
  <c r="C65" i="11"/>
  <c r="C62" i="11"/>
  <c r="D59" i="11"/>
  <c r="E56" i="11"/>
  <c r="E54" i="11"/>
  <c r="C120" i="11"/>
  <c r="E108" i="11"/>
  <c r="D87" i="11"/>
  <c r="C59" i="11"/>
  <c r="D56" i="11"/>
  <c r="D54" i="11"/>
  <c r="E51" i="11"/>
  <c r="E49" i="11"/>
  <c r="E47" i="11"/>
  <c r="E89" i="11"/>
  <c r="C87" i="11"/>
  <c r="D79" i="11"/>
  <c r="E73" i="11"/>
  <c r="E68" i="11"/>
  <c r="C56" i="11"/>
  <c r="C54" i="11"/>
  <c r="D51" i="11"/>
  <c r="D49" i="11"/>
  <c r="D47" i="11"/>
  <c r="C105" i="11"/>
  <c r="E110" i="11"/>
  <c r="C99" i="11"/>
  <c r="E92" i="11"/>
  <c r="C89" i="11"/>
  <c r="C84" i="11"/>
  <c r="D92" i="11"/>
  <c r="D107" i="11"/>
  <c r="E101" i="11"/>
  <c r="D86" i="11"/>
  <c r="E78" i="11"/>
  <c r="D89" i="11"/>
  <c r="C55" i="11"/>
  <c r="E107" i="11"/>
  <c r="E75" i="11"/>
  <c r="C75" i="11"/>
  <c r="E69" i="11"/>
  <c r="E58" i="11"/>
  <c r="C51" i="11"/>
  <c r="C91" i="11"/>
  <c r="E74" i="11"/>
  <c r="D60" i="11"/>
  <c r="E80" i="11"/>
  <c r="D48" i="11"/>
  <c r="D80" i="11"/>
  <c r="D58" i="11"/>
  <c r="C48" i="11"/>
  <c r="C69" i="11"/>
  <c r="D50" i="11"/>
  <c r="C50" i="11"/>
  <c r="E60" i="11"/>
  <c r="E53" i="11"/>
  <c r="C47" i="11"/>
  <c r="C88" i="11"/>
  <c r="C109" i="11"/>
  <c r="C73" i="11"/>
  <c r="C66" i="11"/>
  <c r="E63" i="11"/>
  <c r="E55" i="11"/>
  <c r="D63" i="11"/>
  <c r="D81" i="11"/>
  <c r="E70" i="11"/>
  <c r="C53" i="11"/>
  <c r="C49" i="11"/>
  <c r="B58" i="9"/>
  <c r="B66" i="9"/>
  <c r="B68" i="9"/>
  <c r="C70" i="9"/>
  <c r="C73" i="9"/>
  <c r="B78" i="9"/>
  <c r="B81" i="9"/>
  <c r="C89" i="9"/>
  <c r="E91" i="9"/>
  <c r="D99" i="9"/>
  <c r="C104" i="9"/>
  <c r="E106" i="9"/>
  <c r="E108" i="9"/>
  <c r="I114" i="9"/>
  <c r="C114" i="9"/>
  <c r="D123" i="9"/>
  <c r="I134" i="9"/>
  <c r="G134" i="9"/>
  <c r="B134" i="9"/>
  <c r="C139" i="9"/>
  <c r="C167" i="11" s="1"/>
  <c r="C144" i="9"/>
  <c r="B150" i="9"/>
  <c r="I163" i="9"/>
  <c r="G163" i="9"/>
  <c r="C163" i="9"/>
  <c r="B163" i="9"/>
  <c r="B166" i="9"/>
  <c r="C182" i="9"/>
  <c r="B196" i="9"/>
  <c r="C199" i="9"/>
  <c r="E199" i="9"/>
  <c r="C211" i="9"/>
  <c r="A214" i="9"/>
  <c r="I215" i="9"/>
  <c r="G215" i="9"/>
  <c r="B215" i="9"/>
  <c r="C222" i="9"/>
  <c r="F183" i="15" s="1"/>
  <c r="C249" i="9"/>
  <c r="C268" i="9"/>
  <c r="I277" i="9"/>
  <c r="G277" i="9"/>
  <c r="C283" i="9"/>
  <c r="I296" i="9"/>
  <c r="C296" i="9"/>
  <c r="I301" i="9"/>
  <c r="G301" i="9"/>
  <c r="C301" i="9"/>
  <c r="B301" i="9"/>
  <c r="A309" i="9"/>
  <c r="C310" i="9"/>
  <c r="I310" i="9"/>
  <c r="G310" i="9"/>
  <c r="C232" i="9"/>
  <c r="B232" i="9"/>
  <c r="B243" i="9"/>
  <c r="B241" i="9"/>
  <c r="B239" i="9"/>
  <c r="B237" i="9"/>
  <c r="C235" i="9"/>
  <c r="B235" i="9"/>
  <c r="C238" i="9"/>
  <c r="E72" i="6"/>
  <c r="D295" i="9" s="1"/>
  <c r="C66" i="9"/>
  <c r="D68" i="9"/>
  <c r="D81" i="9"/>
  <c r="D89" i="9"/>
  <c r="B112" i="9"/>
  <c r="B114" i="9"/>
  <c r="E119" i="9"/>
  <c r="I121" i="9"/>
  <c r="G121" i="9"/>
  <c r="C121" i="9"/>
  <c r="B121" i="9"/>
  <c r="G129" i="9"/>
  <c r="I129" i="9"/>
  <c r="E129" i="9"/>
  <c r="B129" i="9"/>
  <c r="C134" i="9"/>
  <c r="F84" i="15" s="1"/>
  <c r="B137" i="9"/>
  <c r="C177" i="9"/>
  <c r="I191" i="9"/>
  <c r="D191" i="9"/>
  <c r="C191" i="9"/>
  <c r="C196" i="9"/>
  <c r="C215" i="9"/>
  <c r="G234" i="9"/>
  <c r="B257" i="9"/>
  <c r="C257" i="9"/>
  <c r="G257" i="9"/>
  <c r="B263" i="9"/>
  <c r="I271" i="9"/>
  <c r="G271" i="9"/>
  <c r="B271" i="9"/>
  <c r="B277" i="9"/>
  <c r="B296" i="9"/>
  <c r="B310" i="9"/>
  <c r="D58" i="9"/>
  <c r="G61" i="9"/>
  <c r="I61" i="9"/>
  <c r="C63" i="9"/>
  <c r="D66" i="9"/>
  <c r="E68" i="9"/>
  <c r="C76" i="9"/>
  <c r="I76" i="9"/>
  <c r="E81" i="9"/>
  <c r="C84" i="9"/>
  <c r="C86" i="9"/>
  <c r="G89" i="9"/>
  <c r="B95" i="9"/>
  <c r="C97" i="9"/>
  <c r="D104" i="9"/>
  <c r="C112" i="9"/>
  <c r="D114" i="9"/>
  <c r="B119" i="9"/>
  <c r="D121" i="9"/>
  <c r="C129" i="9"/>
  <c r="C137" i="9"/>
  <c r="C142" i="9"/>
  <c r="B148" i="9"/>
  <c r="G150" i="9"/>
  <c r="I153" i="9"/>
  <c r="I156" i="9"/>
  <c r="C156" i="9"/>
  <c r="B161" i="9"/>
  <c r="C172" i="9"/>
  <c r="B191" i="9"/>
  <c r="B194" i="9"/>
  <c r="I196" i="9"/>
  <c r="D199" i="9"/>
  <c r="G206" i="9"/>
  <c r="B206" i="9"/>
  <c r="G227" i="9"/>
  <c r="I227" i="9"/>
  <c r="C227" i="9"/>
  <c r="B227" i="9"/>
  <c r="I231" i="9"/>
  <c r="C231" i="9"/>
  <c r="B231" i="9"/>
  <c r="I234" i="9"/>
  <c r="I240" i="9"/>
  <c r="B240" i="9"/>
  <c r="B247" i="9"/>
  <c r="G253" i="9"/>
  <c r="C271" i="9"/>
  <c r="F202" i="15" s="1"/>
  <c r="C277" i="9"/>
  <c r="I288" i="9"/>
  <c r="G288" i="9"/>
  <c r="C288" i="9"/>
  <c r="B288" i="9"/>
  <c r="G296" i="9"/>
  <c r="C19" i="8"/>
  <c r="D18" i="5"/>
  <c r="E73" i="6"/>
  <c r="E296" i="9" s="1"/>
  <c r="D19" i="8"/>
  <c r="C22" i="8"/>
  <c r="E22" i="8" s="1"/>
  <c r="E58" i="9"/>
  <c r="B61" i="9"/>
  <c r="D63" i="9"/>
  <c r="G66" i="9"/>
  <c r="G68" i="9"/>
  <c r="B76" i="9"/>
  <c r="D84" i="9"/>
  <c r="D86" i="9"/>
  <c r="I89" i="9"/>
  <c r="C95" i="9"/>
  <c r="D97" i="9"/>
  <c r="B102" i="9"/>
  <c r="E104" i="9"/>
  <c r="I109" i="9"/>
  <c r="D109" i="9"/>
  <c r="C109" i="9"/>
  <c r="D112" i="9"/>
  <c r="E114" i="9"/>
  <c r="G117" i="9"/>
  <c r="E117" i="9"/>
  <c r="B117" i="9"/>
  <c r="C119" i="9"/>
  <c r="E121" i="9"/>
  <c r="I126" i="9"/>
  <c r="D126" i="9"/>
  <c r="D129" i="9"/>
  <c r="B132" i="9"/>
  <c r="C148" i="9"/>
  <c r="B156" i="9"/>
  <c r="B159" i="9"/>
  <c r="C161" i="9"/>
  <c r="G166" i="9"/>
  <c r="I180" i="9"/>
  <c r="B180" i="9"/>
  <c r="E186" i="9"/>
  <c r="C186" i="9"/>
  <c r="A185" i="9"/>
  <c r="G186" i="9"/>
  <c r="E191" i="9"/>
  <c r="C194" i="9"/>
  <c r="G199" i="9"/>
  <c r="C206" i="9"/>
  <c r="G231" i="9"/>
  <c r="C240" i="9"/>
  <c r="C243" i="9"/>
  <c r="C247" i="9"/>
  <c r="B253" i="9"/>
  <c r="I257" i="9"/>
  <c r="C266" i="9"/>
  <c r="C281" i="9"/>
  <c r="B328" i="9"/>
  <c r="A14" i="11"/>
  <c r="C14" i="11" s="1"/>
  <c r="A12" i="10"/>
  <c r="C12" i="10" s="1"/>
  <c r="E99" i="9"/>
  <c r="C18" i="5"/>
  <c r="E68" i="6"/>
  <c r="E291" i="9" s="1"/>
  <c r="D79" i="9"/>
  <c r="D67" i="9"/>
  <c r="E70" i="9"/>
  <c r="E78" i="9"/>
  <c r="C18" i="6"/>
  <c r="E64" i="6"/>
  <c r="D287" i="9" s="1"/>
  <c r="D22" i="8"/>
  <c r="G58" i="9"/>
  <c r="C61" i="9"/>
  <c r="E63" i="9"/>
  <c r="I66" i="9"/>
  <c r="E74" i="9"/>
  <c r="D76" i="9"/>
  <c r="D82" i="9"/>
  <c r="B82" i="9"/>
  <c r="E84" i="9"/>
  <c r="E86" i="9"/>
  <c r="B92" i="9"/>
  <c r="D95" i="9"/>
  <c r="E97" i="9"/>
  <c r="B100" i="9"/>
  <c r="C102" i="9"/>
  <c r="G104" i="9"/>
  <c r="E107" i="9"/>
  <c r="B109" i="9"/>
  <c r="G114" i="9"/>
  <c r="C117" i="9"/>
  <c r="E124" i="9"/>
  <c r="B126" i="9"/>
  <c r="D132" i="9"/>
  <c r="I145" i="9"/>
  <c r="B145" i="9"/>
  <c r="C151" i="9"/>
  <c r="G151" i="9"/>
  <c r="G161" i="9"/>
  <c r="C164" i="9"/>
  <c r="I166" i="9"/>
  <c r="B175" i="9"/>
  <c r="I175" i="9"/>
  <c r="C175" i="9"/>
  <c r="C180" i="9"/>
  <c r="B186" i="9"/>
  <c r="C189" i="9"/>
  <c r="G191" i="9"/>
  <c r="D194" i="9"/>
  <c r="I199" i="9"/>
  <c r="C209" i="9"/>
  <c r="B212" i="9"/>
  <c r="I212" i="9"/>
  <c r="C212" i="9"/>
  <c r="G220" i="9"/>
  <c r="I220" i="9"/>
  <c r="A219" i="9"/>
  <c r="B250" i="9"/>
  <c r="C253" i="9"/>
  <c r="B269" i="9"/>
  <c r="G278" i="9"/>
  <c r="C278" i="9"/>
  <c r="C240" i="11" s="1"/>
  <c r="B278" i="9"/>
  <c r="G311" i="9"/>
  <c r="I311" i="9"/>
  <c r="C311" i="9"/>
  <c r="B311" i="9"/>
  <c r="B86" i="9"/>
  <c r="B97" i="9"/>
  <c r="B281" i="9"/>
  <c r="B303" i="9"/>
  <c r="B302" i="9"/>
  <c r="C297" i="9"/>
  <c r="F227" i="15" s="1"/>
  <c r="C259" i="9"/>
  <c r="B297" i="9"/>
  <c r="C284" i="9"/>
  <c r="B259" i="9"/>
  <c r="C254" i="9"/>
  <c r="C250" i="9"/>
  <c r="C308" i="9"/>
  <c r="C274" i="9"/>
  <c r="E290" i="9"/>
  <c r="B274" i="9"/>
  <c r="C270" i="9"/>
  <c r="B305" i="9"/>
  <c r="C303" i="9"/>
  <c r="C290" i="9"/>
  <c r="B266" i="9"/>
  <c r="B264" i="9"/>
  <c r="B262" i="9"/>
  <c r="C260" i="9"/>
  <c r="B290" i="9"/>
  <c r="B260" i="9"/>
  <c r="C269" i="9"/>
  <c r="F200" i="15" s="1"/>
  <c r="C267" i="9"/>
  <c r="F198" i="15" s="1"/>
  <c r="C263" i="9"/>
  <c r="C261" i="9"/>
  <c r="C304" i="9"/>
  <c r="C302" i="9"/>
  <c r="D291" i="9"/>
  <c r="C289" i="9"/>
  <c r="E20" i="6"/>
  <c r="C169" i="9"/>
  <c r="E159" i="9"/>
  <c r="C155" i="9"/>
  <c r="C143" i="9"/>
  <c r="F93" i="15" s="1"/>
  <c r="C132" i="9"/>
  <c r="D18" i="6"/>
  <c r="C21" i="6"/>
  <c r="E69" i="6"/>
  <c r="E292" i="9" s="1"/>
  <c r="A14" i="9"/>
  <c r="C14" i="9" s="1"/>
  <c r="I58" i="9"/>
  <c r="D61" i="9"/>
  <c r="I63" i="9"/>
  <c r="C69" i="9"/>
  <c r="B74" i="9"/>
  <c r="E76" i="9"/>
  <c r="C82" i="9"/>
  <c r="G86" i="9"/>
  <c r="D92" i="9"/>
  <c r="E95" i="9"/>
  <c r="G97" i="9"/>
  <c r="C100" i="9"/>
  <c r="E102" i="9"/>
  <c r="I104" i="9"/>
  <c r="B107" i="9"/>
  <c r="E109" i="9"/>
  <c r="D117" i="9"/>
  <c r="B124" i="9"/>
  <c r="C126" i="9"/>
  <c r="B130" i="9"/>
  <c r="D130" i="9"/>
  <c r="E132" i="9"/>
  <c r="G135" i="9"/>
  <c r="C135" i="9"/>
  <c r="B135" i="9"/>
  <c r="B140" i="9"/>
  <c r="I140" i="9"/>
  <c r="C140" i="9"/>
  <c r="C145" i="9"/>
  <c r="B151" i="9"/>
  <c r="C154" i="9"/>
  <c r="G156" i="9"/>
  <c r="D159" i="9"/>
  <c r="I161" i="9"/>
  <c r="B164" i="9"/>
  <c r="B169" i="9"/>
  <c r="D186" i="9"/>
  <c r="D189" i="9"/>
  <c r="B197" i="9"/>
  <c r="I206" i="9"/>
  <c r="C216" i="9"/>
  <c r="I216" i="9"/>
  <c r="G216" i="9"/>
  <c r="B216" i="9"/>
  <c r="B220" i="9"/>
  <c r="C228" i="9"/>
  <c r="B228" i="9"/>
  <c r="G228" i="9"/>
  <c r="G240" i="9"/>
  <c r="I253" i="9"/>
  <c r="C258" i="9"/>
  <c r="F189" i="15" s="1"/>
  <c r="I258" i="9"/>
  <c r="B258" i="9"/>
  <c r="B261" i="9"/>
  <c r="B284" i="9"/>
  <c r="A13" i="11"/>
  <c r="C13" i="11" s="1"/>
  <c r="A11" i="10"/>
  <c r="C11" i="10" s="1"/>
  <c r="G59" i="9"/>
  <c r="I59" i="9"/>
  <c r="E59" i="9"/>
  <c r="B64" i="9"/>
  <c r="B69" i="9"/>
  <c r="B72" i="9"/>
  <c r="C74" i="9"/>
  <c r="E82" i="9"/>
  <c r="B90" i="9"/>
  <c r="E92" i="9"/>
  <c r="D100" i="9"/>
  <c r="C107" i="9"/>
  <c r="I115" i="9"/>
  <c r="G115" i="9"/>
  <c r="C115" i="9"/>
  <c r="B122" i="9"/>
  <c r="C124" i="9"/>
  <c r="E126" i="9"/>
  <c r="C130" i="9"/>
  <c r="F80" i="15" s="1"/>
  <c r="C173" i="9"/>
  <c r="B178" i="9"/>
  <c r="G183" i="9"/>
  <c r="C183" i="9"/>
  <c r="B183" i="9"/>
  <c r="I192" i="9"/>
  <c r="G192" i="9"/>
  <c r="B192" i="9"/>
  <c r="C197" i="9"/>
  <c r="B204" i="9"/>
  <c r="C220" i="9"/>
  <c r="B224" i="9"/>
  <c r="I224" i="9"/>
  <c r="G224" i="9"/>
  <c r="B238" i="9"/>
  <c r="C244" i="9"/>
  <c r="B244" i="9"/>
  <c r="C272" i="9"/>
  <c r="I272" i="9"/>
  <c r="G272" i="9"/>
  <c r="B272" i="9"/>
  <c r="I275" i="9"/>
  <c r="G275" i="9"/>
  <c r="E65" i="6"/>
  <c r="E288" i="9" s="1"/>
  <c r="C20" i="8"/>
  <c r="E20" i="8" s="1"/>
  <c r="B59" i="9"/>
  <c r="B67" i="9"/>
  <c r="D69" i="9"/>
  <c r="C72" i="9"/>
  <c r="D74" i="9"/>
  <c r="B79" i="9"/>
  <c r="G87" i="9"/>
  <c r="I87" i="9"/>
  <c r="C87" i="9"/>
  <c r="B87" i="9"/>
  <c r="D90" i="9"/>
  <c r="B98" i="9"/>
  <c r="I98" i="9"/>
  <c r="D98" i="9"/>
  <c r="C98" i="9"/>
  <c r="B105" i="9"/>
  <c r="I105" i="9"/>
  <c r="G105" i="9"/>
  <c r="C105" i="9"/>
  <c r="B115" i="9"/>
  <c r="C122" i="9"/>
  <c r="D124" i="9"/>
  <c r="E130" i="9"/>
  <c r="C138" i="9"/>
  <c r="B143" i="9"/>
  <c r="I157" i="9"/>
  <c r="G157" i="9"/>
  <c r="B157" i="9"/>
  <c r="B167" i="9"/>
  <c r="B173" i="9"/>
  <c r="C192" i="9"/>
  <c r="E197" i="9"/>
  <c r="D200" i="9"/>
  <c r="G212" i="9"/>
  <c r="C224" i="9"/>
  <c r="G251" i="9"/>
  <c r="C264" i="9"/>
  <c r="B267" i="9"/>
  <c r="B275" i="9"/>
  <c r="D21" i="6"/>
  <c r="E74" i="6"/>
  <c r="E297" i="9" s="1"/>
  <c r="E259" i="11" s="1"/>
  <c r="C18" i="3"/>
  <c r="D18" i="3"/>
  <c r="E70" i="6"/>
  <c r="E293" i="9" s="1"/>
  <c r="B345" i="9"/>
  <c r="C343" i="9"/>
  <c r="B340" i="9"/>
  <c r="B320" i="9"/>
  <c r="B317" i="9"/>
  <c r="B344" i="9"/>
  <c r="C345" i="9"/>
  <c r="C323" i="9"/>
  <c r="C320" i="9"/>
  <c r="B342" i="9"/>
  <c r="C344" i="9"/>
  <c r="B329" i="9"/>
  <c r="C322" i="9"/>
  <c r="C319" i="9"/>
  <c r="B316" i="9"/>
  <c r="B341" i="9"/>
  <c r="B325" i="9"/>
  <c r="B343" i="9"/>
  <c r="C340" i="9"/>
  <c r="C317" i="9"/>
  <c r="C315" i="9"/>
  <c r="C331" i="9"/>
  <c r="B315" i="9"/>
  <c r="D20" i="8"/>
  <c r="C59" i="9"/>
  <c r="C67" i="9"/>
  <c r="E69" i="9"/>
  <c r="D72" i="9"/>
  <c r="G74" i="9"/>
  <c r="G77" i="9"/>
  <c r="C77" i="9"/>
  <c r="B77" i="9"/>
  <c r="C79" i="9"/>
  <c r="I82" i="9"/>
  <c r="E85" i="9"/>
  <c r="D87" i="9"/>
  <c r="E98" i="9"/>
  <c r="D105" i="9"/>
  <c r="D110" i="9"/>
  <c r="I110" i="9"/>
  <c r="B113" i="9"/>
  <c r="D115" i="9"/>
  <c r="D122" i="9"/>
  <c r="G124" i="9"/>
  <c r="G130" i="9"/>
  <c r="I135" i="9"/>
  <c r="B138" i="9"/>
  <c r="B149" i="9"/>
  <c r="C157" i="9"/>
  <c r="B162" i="9"/>
  <c r="I164" i="9"/>
  <c r="G173" i="9"/>
  <c r="C176" i="9"/>
  <c r="I181" i="9"/>
  <c r="C181" i="9"/>
  <c r="I187" i="9"/>
  <c r="G187" i="9"/>
  <c r="C187" i="9"/>
  <c r="B187" i="9"/>
  <c r="D192" i="9"/>
  <c r="B210" i="9"/>
  <c r="C210" i="9"/>
  <c r="I217" i="9"/>
  <c r="G217" i="9"/>
  <c r="B217" i="9"/>
  <c r="C241" i="9"/>
  <c r="G244" i="9"/>
  <c r="B251" i="9"/>
  <c r="B254" i="9"/>
  <c r="C275" i="9"/>
  <c r="C279" i="9"/>
  <c r="I279" i="9"/>
  <c r="G279" i="9"/>
  <c r="I299" i="9"/>
  <c r="G299" i="9"/>
  <c r="C299" i="9"/>
  <c r="B299" i="9"/>
  <c r="C313" i="9"/>
  <c r="E125" i="9"/>
  <c r="E112" i="9"/>
  <c r="D102" i="9"/>
  <c r="E100" i="9"/>
  <c r="C92" i="9"/>
  <c r="E90" i="9"/>
  <c r="D113" i="9"/>
  <c r="E63" i="6"/>
  <c r="E286" i="9" s="1"/>
  <c r="B104" i="9"/>
  <c r="D197" i="9"/>
  <c r="B225" i="9"/>
  <c r="C218" i="9"/>
  <c r="B218" i="9"/>
  <c r="B211" i="9"/>
  <c r="B209" i="9"/>
  <c r="B207" i="9"/>
  <c r="B205" i="9"/>
  <c r="C203" i="9"/>
  <c r="C200" i="9"/>
  <c r="E194" i="9"/>
  <c r="C190" i="9"/>
  <c r="A9" i="10"/>
  <c r="C9" i="10" s="1"/>
  <c r="A11" i="9"/>
  <c r="C11" i="9" s="1"/>
  <c r="A11" i="11"/>
  <c r="C11" i="11" s="1"/>
  <c r="C18" i="4"/>
  <c r="C19" i="6"/>
  <c r="D59" i="9"/>
  <c r="E67" i="9"/>
  <c r="G69" i="9"/>
  <c r="E72" i="9"/>
  <c r="I74" i="9"/>
  <c r="D77" i="9"/>
  <c r="E79" i="9"/>
  <c r="B85" i="9"/>
  <c r="E87" i="9"/>
  <c r="D96" i="9"/>
  <c r="E96" i="9"/>
  <c r="C96" i="9"/>
  <c r="G98" i="9"/>
  <c r="D103" i="9"/>
  <c r="I103" i="9"/>
  <c r="C103" i="9"/>
  <c r="E105" i="9"/>
  <c r="B110" i="9"/>
  <c r="C113" i="9"/>
  <c r="E115" i="9"/>
  <c r="B118" i="9"/>
  <c r="C120" i="9"/>
  <c r="E122" i="9"/>
  <c r="I124" i="9"/>
  <c r="A127" i="9"/>
  <c r="C128" i="9"/>
  <c r="I130" i="9"/>
  <c r="B133" i="9"/>
  <c r="G138" i="9"/>
  <c r="C141" i="9"/>
  <c r="E141" i="9"/>
  <c r="C149" i="9"/>
  <c r="I152" i="9"/>
  <c r="G152" i="9"/>
  <c r="C152" i="9"/>
  <c r="B152" i="9"/>
  <c r="C162" i="9"/>
  <c r="I173" i="9"/>
  <c r="B176" i="9"/>
  <c r="B181" i="9"/>
  <c r="I183" i="9"/>
  <c r="D187" i="9"/>
  <c r="B190" i="9"/>
  <c r="E192" i="9"/>
  <c r="D195" i="9"/>
  <c r="B201" i="9"/>
  <c r="D201" i="9"/>
  <c r="C217" i="9"/>
  <c r="I229" i="9"/>
  <c r="C229" i="9"/>
  <c r="F34" i="15" s="1"/>
  <c r="B229" i="9"/>
  <c r="B236" i="9"/>
  <c r="I244" i="9"/>
  <c r="C248" i="9"/>
  <c r="C251" i="9"/>
  <c r="F60" i="15" s="1"/>
  <c r="B279" i="9"/>
  <c r="C282" i="9"/>
  <c r="I286" i="9"/>
  <c r="G286" i="9"/>
  <c r="C286" i="9"/>
  <c r="B286" i="9"/>
  <c r="B294" i="9"/>
  <c r="I294" i="9"/>
  <c r="E294" i="9"/>
  <c r="D294" i="9"/>
  <c r="C294" i="9"/>
  <c r="C307" i="9"/>
  <c r="F236" i="15" s="1"/>
  <c r="G307" i="9"/>
  <c r="B307" i="9"/>
  <c r="I307" i="9"/>
  <c r="C316" i="9"/>
  <c r="A13" i="10"/>
  <c r="C13" i="10" s="1"/>
  <c r="A15" i="11"/>
  <c r="C15" i="11" s="1"/>
  <c r="E66" i="6"/>
  <c r="E289" i="9" s="1"/>
  <c r="C18" i="7"/>
  <c r="G57" i="9"/>
  <c r="E57" i="9"/>
  <c r="D57" i="9"/>
  <c r="I69" i="9"/>
  <c r="E77" i="9"/>
  <c r="G83" i="9"/>
  <c r="E83" i="9"/>
  <c r="B83" i="9"/>
  <c r="C85" i="9"/>
  <c r="I93" i="9"/>
  <c r="G93" i="9"/>
  <c r="E93" i="9"/>
  <c r="B93" i="9"/>
  <c r="B96" i="9"/>
  <c r="G101" i="9"/>
  <c r="D101" i="9"/>
  <c r="B103" i="9"/>
  <c r="C110" i="9"/>
  <c r="E113" i="9"/>
  <c r="D118" i="9"/>
  <c r="D120" i="9"/>
  <c r="I122" i="9"/>
  <c r="B128" i="9"/>
  <c r="C133" i="9"/>
  <c r="G136" i="9"/>
  <c r="I138" i="9"/>
  <c r="B141" i="9"/>
  <c r="G147" i="9"/>
  <c r="C147" i="9"/>
  <c r="B147" i="9"/>
  <c r="B155" i="9"/>
  <c r="G171" i="9"/>
  <c r="A170" i="9"/>
  <c r="E187" i="9"/>
  <c r="D190" i="9"/>
  <c r="E195" i="9"/>
  <c r="C201" i="9"/>
  <c r="B213" i="9"/>
  <c r="C236" i="9"/>
  <c r="I251" i="9"/>
  <c r="B273" i="9"/>
  <c r="G276" i="9"/>
  <c r="C276" i="9"/>
  <c r="F207" i="15" s="1"/>
  <c r="B276" i="9"/>
  <c r="D290" i="9"/>
  <c r="D252" i="11" s="1"/>
  <c r="G294" i="9"/>
  <c r="A16" i="11"/>
  <c r="C16" i="11" s="1"/>
  <c r="A14" i="10"/>
  <c r="C14" i="10" s="1"/>
  <c r="B57" i="9"/>
  <c r="B60" i="9"/>
  <c r="I75" i="9"/>
  <c r="D75" i="9"/>
  <c r="C75" i="9"/>
  <c r="C83" i="9"/>
  <c r="I91" i="9"/>
  <c r="D91" i="9"/>
  <c r="C93" i="9"/>
  <c r="B101" i="9"/>
  <c r="E103" i="9"/>
  <c r="B106" i="9"/>
  <c r="B108" i="9"/>
  <c r="E110" i="9"/>
  <c r="E116" i="9"/>
  <c r="B116" i="9"/>
  <c r="E118" i="9"/>
  <c r="E120" i="9"/>
  <c r="B136" i="9"/>
  <c r="D141" i="9"/>
  <c r="C165" i="9"/>
  <c r="F129" i="15" s="1"/>
  <c r="C168" i="9"/>
  <c r="F132" i="15" s="1"/>
  <c r="B171" i="9"/>
  <c r="E190" i="9"/>
  <c r="E193" i="9"/>
  <c r="I193" i="9"/>
  <c r="C193" i="9"/>
  <c r="B193" i="9"/>
  <c r="I198" i="9"/>
  <c r="G198" i="9"/>
  <c r="D198" i="9"/>
  <c r="C198" i="9"/>
  <c r="B198" i="9"/>
  <c r="E201" i="9"/>
  <c r="C225" i="9"/>
  <c r="B242" i="9"/>
  <c r="C262" i="9"/>
  <c r="B265" i="9"/>
  <c r="B270" i="9"/>
  <c r="C273" i="9"/>
  <c r="A10" i="10"/>
  <c r="C10" i="10" s="1"/>
  <c r="A12" i="11"/>
  <c r="C12" i="11" s="1"/>
  <c r="F21" i="5"/>
  <c r="A65" i="9"/>
  <c r="F59" i="3" s="1"/>
  <c r="E73" i="9"/>
  <c r="D73" i="9"/>
  <c r="B75" i="9"/>
  <c r="A80" i="9"/>
  <c r="D83" i="9"/>
  <c r="E89" i="9"/>
  <c r="B91" i="9"/>
  <c r="D93" i="9"/>
  <c r="B99" i="9"/>
  <c r="C101" i="9"/>
  <c r="C106" i="9"/>
  <c r="C108" i="9"/>
  <c r="C116" i="9"/>
  <c r="B125" i="9"/>
  <c r="B131" i="9"/>
  <c r="C136" i="9"/>
  <c r="E144" i="9"/>
  <c r="I158" i="9"/>
  <c r="C158" i="9"/>
  <c r="C182" i="11" s="1"/>
  <c r="B158" i="9"/>
  <c r="B168" i="9"/>
  <c r="C171" i="9"/>
  <c r="B174" i="9"/>
  <c r="B179" i="9"/>
  <c r="B184" i="9"/>
  <c r="C188" i="9"/>
  <c r="B188" i="9"/>
  <c r="E188" i="9"/>
  <c r="D193" i="9"/>
  <c r="E198" i="9"/>
  <c r="C205" i="9"/>
  <c r="B208" i="9"/>
  <c r="I222" i="9"/>
  <c r="G222" i="9"/>
  <c r="C230" i="9"/>
  <c r="B230" i="9"/>
  <c r="G230" i="9"/>
  <c r="C239" i="9"/>
  <c r="C242" i="9"/>
  <c r="B246" i="9"/>
  <c r="G249" i="9"/>
  <c r="I256" i="9"/>
  <c r="C256" i="9"/>
  <c r="B256" i="9"/>
  <c r="G280" i="9"/>
  <c r="C280" i="9"/>
  <c r="B280" i="9"/>
  <c r="E287" i="9"/>
  <c r="G295" i="9"/>
  <c r="B295" i="9"/>
  <c r="C295" i="9"/>
  <c r="I295" i="9"/>
  <c r="B304" i="9"/>
  <c r="B321" i="9"/>
  <c r="G321" i="9"/>
  <c r="I172" i="9"/>
  <c r="C178" i="9"/>
  <c r="B182" i="9"/>
  <c r="C204" i="9"/>
  <c r="F152" i="15" s="1"/>
  <c r="B313" i="9"/>
  <c r="C321" i="9"/>
  <c r="C328" i="9"/>
  <c r="G328" i="9"/>
  <c r="G332" i="9"/>
  <c r="I332" i="9"/>
  <c r="C332" i="9"/>
  <c r="I321" i="9"/>
  <c r="I328" i="9"/>
  <c r="B332" i="9"/>
  <c r="B336" i="9"/>
  <c r="I336" i="9"/>
  <c r="G336" i="9"/>
  <c r="C336" i="9"/>
  <c r="E200" i="9"/>
  <c r="I233" i="9"/>
  <c r="B233" i="9"/>
  <c r="D292" i="9"/>
  <c r="G319" i="9"/>
  <c r="I319" i="9"/>
  <c r="D131" i="9"/>
  <c r="B142" i="9"/>
  <c r="B154" i="9"/>
  <c r="B165" i="9"/>
  <c r="C167" i="9"/>
  <c r="B177" i="9"/>
  <c r="B189" i="9"/>
  <c r="B200" i="9"/>
  <c r="B203" i="9"/>
  <c r="A202" i="9"/>
  <c r="C233" i="9"/>
  <c r="C237" i="9"/>
  <c r="A245" i="9"/>
  <c r="B292" i="9"/>
  <c r="B319" i="9"/>
  <c r="B337" i="9"/>
  <c r="C337" i="9"/>
  <c r="F326" i="15" s="1"/>
  <c r="I268" i="9"/>
  <c r="B268" i="9"/>
  <c r="C292" i="9"/>
  <c r="C314" i="9"/>
  <c r="B314" i="9"/>
  <c r="B333" i="9"/>
  <c r="I333" i="9"/>
  <c r="G333" i="9"/>
  <c r="C333" i="9"/>
  <c r="D85" i="9"/>
  <c r="D107" i="9"/>
  <c r="D119" i="9"/>
  <c r="E123" i="9"/>
  <c r="E131" i="9"/>
  <c r="D144" i="9"/>
  <c r="C160" i="9"/>
  <c r="G165" i="9"/>
  <c r="E189" i="9"/>
  <c r="C195" i="9"/>
  <c r="G200" i="9"/>
  <c r="C213" i="9"/>
  <c r="C221" i="9"/>
  <c r="B223" i="9"/>
  <c r="G233" i="9"/>
  <c r="C246" i="9"/>
  <c r="G292" i="9"/>
  <c r="I337" i="9"/>
  <c r="C90" i="9"/>
  <c r="B123" i="9"/>
  <c r="C125" i="9"/>
  <c r="G131" i="9"/>
  <c r="B160" i="9"/>
  <c r="I165" i="9"/>
  <c r="G167" i="9"/>
  <c r="B172" i="9"/>
  <c r="B195" i="9"/>
  <c r="I200" i="9"/>
  <c r="G203" i="9"/>
  <c r="B221" i="9"/>
  <c r="C223" i="9"/>
  <c r="G237" i="9"/>
  <c r="B248" i="9"/>
  <c r="I250" i="9"/>
  <c r="B252" i="9"/>
  <c r="G252" i="9"/>
  <c r="G264" i="9"/>
  <c r="G266" i="9"/>
  <c r="B282" i="9"/>
  <c r="I292" i="9"/>
  <c r="B308" i="9"/>
  <c r="G314" i="9"/>
  <c r="I334" i="9"/>
  <c r="G334" i="9"/>
  <c r="C334" i="9"/>
  <c r="B334" i="9"/>
  <c r="G338" i="9"/>
  <c r="B338" i="9"/>
  <c r="I338" i="9"/>
  <c r="G246" i="9"/>
  <c r="B287" i="9"/>
  <c r="G287" i="9"/>
  <c r="C291" i="9"/>
  <c r="I293" i="9"/>
  <c r="B293" i="9"/>
  <c r="C300" i="9"/>
  <c r="B300" i="9"/>
  <c r="B306" i="9"/>
  <c r="C327" i="9"/>
  <c r="I327" i="9"/>
  <c r="B335" i="9"/>
  <c r="C335" i="9"/>
  <c r="C338" i="9"/>
  <c r="I308" i="15"/>
  <c r="K308" i="15" s="1"/>
  <c r="I326" i="15"/>
  <c r="K326" i="15" s="1"/>
  <c r="I321" i="15"/>
  <c r="K321" i="15" s="1"/>
  <c r="G308" i="15"/>
  <c r="H306" i="15"/>
  <c r="J317" i="15"/>
  <c r="G317" i="15"/>
  <c r="M314" i="15"/>
  <c r="Q314" i="15" s="1"/>
  <c r="S314" i="15" s="1"/>
  <c r="M310" i="15"/>
  <c r="Q310" i="15" s="1"/>
  <c r="S310" i="15" s="1"/>
  <c r="I318" i="15"/>
  <c r="K318" i="15" s="1"/>
  <c r="I314" i="15"/>
  <c r="K314" i="15" s="1"/>
  <c r="J315" i="15"/>
  <c r="I317" i="15"/>
  <c r="K317" i="15" s="1"/>
  <c r="H319" i="15"/>
  <c r="I310" i="15"/>
  <c r="K310" i="15" s="1"/>
  <c r="F306" i="15"/>
  <c r="G310" i="15"/>
  <c r="I316" i="15"/>
  <c r="K316" i="15" s="1"/>
  <c r="M304" i="15"/>
  <c r="Q304" i="15" s="1"/>
  <c r="S304" i="15" s="1"/>
  <c r="G231" i="15"/>
  <c r="G223" i="15"/>
  <c r="J205" i="15"/>
  <c r="I219" i="15"/>
  <c r="K219" i="15" s="1"/>
  <c r="H217" i="15"/>
  <c r="J191" i="15"/>
  <c r="M236" i="15"/>
  <c r="Q236" i="15" s="1"/>
  <c r="S236" i="15" s="1"/>
  <c r="H236" i="15"/>
  <c r="M170" i="15"/>
  <c r="Q170" i="15" s="1"/>
  <c r="S170" i="15" s="1"/>
  <c r="G219" i="15"/>
  <c r="M218" i="15"/>
  <c r="Q218" i="15" s="1"/>
  <c r="S218" i="15" s="1"/>
  <c r="M226" i="15"/>
  <c r="Q226" i="15" s="1"/>
  <c r="S226" i="15" s="1"/>
  <c r="H203" i="15"/>
  <c r="M205" i="15"/>
  <c r="Q205" i="15" s="1"/>
  <c r="S205" i="15" s="1"/>
  <c r="H228" i="15"/>
  <c r="J217" i="15"/>
  <c r="I216" i="15"/>
  <c r="K216" i="15" s="1"/>
  <c r="M188" i="15"/>
  <c r="Q188" i="15" s="1"/>
  <c r="S188" i="15" s="1"/>
  <c r="M174" i="15"/>
  <c r="Q174" i="15" s="1"/>
  <c r="S174" i="15" s="1"/>
  <c r="J154" i="15"/>
  <c r="M224" i="15"/>
  <c r="Q224" i="15" s="1"/>
  <c r="S224" i="15" s="1"/>
  <c r="I220" i="15"/>
  <c r="K220" i="15" s="1"/>
  <c r="M219" i="15"/>
  <c r="Q219" i="15" s="1"/>
  <c r="S219" i="15" s="1"/>
  <c r="G218" i="15"/>
  <c r="J188" i="15"/>
  <c r="H156" i="15"/>
  <c r="G129" i="15"/>
  <c r="G122" i="15"/>
  <c r="M116" i="15"/>
  <c r="Q116" i="15" s="1"/>
  <c r="S116" i="15" s="1"/>
  <c r="G115" i="15"/>
  <c r="G108" i="15"/>
  <c r="J224" i="15"/>
  <c r="H224" i="15"/>
  <c r="I221" i="15"/>
  <c r="K221" i="15" s="1"/>
  <c r="F220" i="15"/>
  <c r="J231" i="15"/>
  <c r="H221" i="15"/>
  <c r="G174" i="15"/>
  <c r="J235" i="15"/>
  <c r="I231" i="15"/>
  <c r="K231" i="15" s="1"/>
  <c r="G221" i="15"/>
  <c r="F221" i="15"/>
  <c r="H205" i="15"/>
  <c r="M191" i="15"/>
  <c r="Q191" i="15" s="1"/>
  <c r="S191" i="15" s="1"/>
  <c r="G212" i="15"/>
  <c r="I206" i="15"/>
  <c r="K206" i="15" s="1"/>
  <c r="G205" i="15"/>
  <c r="J198" i="15"/>
  <c r="F149" i="15"/>
  <c r="G130" i="15"/>
  <c r="G123" i="15"/>
  <c r="G116" i="15"/>
  <c r="G102" i="15"/>
  <c r="G232" i="15"/>
  <c r="G193" i="15"/>
  <c r="G217" i="15"/>
  <c r="F206" i="15"/>
  <c r="F193" i="15"/>
  <c r="H179" i="15"/>
  <c r="J190" i="15"/>
  <c r="G191" i="15"/>
  <c r="F173" i="15"/>
  <c r="F172" i="15"/>
  <c r="H170" i="15"/>
  <c r="H225" i="15"/>
  <c r="F191" i="15"/>
  <c r="I202" i="15"/>
  <c r="K202" i="15" s="1"/>
  <c r="G168" i="15"/>
  <c r="M163" i="15"/>
  <c r="Q163" i="15" s="1"/>
  <c r="S163" i="15" s="1"/>
  <c r="M142" i="15"/>
  <c r="Q142" i="15" s="1"/>
  <c r="S142" i="15" s="1"/>
  <c r="F121" i="15"/>
  <c r="G216" i="15"/>
  <c r="H184" i="15"/>
  <c r="J177" i="15"/>
  <c r="M176" i="15"/>
  <c r="Q176" i="15" s="1"/>
  <c r="S176" i="15" s="1"/>
  <c r="G163" i="15"/>
  <c r="J158" i="15"/>
  <c r="G142" i="15"/>
  <c r="M141" i="15"/>
  <c r="Q141" i="15" s="1"/>
  <c r="S141" i="15" s="1"/>
  <c r="H121" i="15"/>
  <c r="F117" i="15"/>
  <c r="H194" i="15"/>
  <c r="G207" i="15"/>
  <c r="J184" i="15"/>
  <c r="F177" i="15"/>
  <c r="I160" i="15"/>
  <c r="K160" i="15" s="1"/>
  <c r="F156" i="15"/>
  <c r="H155" i="15"/>
  <c r="J108" i="15"/>
  <c r="J94" i="15"/>
  <c r="I210" i="15"/>
  <c r="K210" i="15" s="1"/>
  <c r="I184" i="15"/>
  <c r="K184" i="15" s="1"/>
  <c r="M161" i="15"/>
  <c r="Q161" i="15" s="1"/>
  <c r="S161" i="15" s="1"/>
  <c r="G159" i="15"/>
  <c r="G155" i="15"/>
  <c r="F130" i="15"/>
  <c r="M107" i="15"/>
  <c r="Q107" i="15" s="1"/>
  <c r="S107" i="15" s="1"/>
  <c r="H94" i="15"/>
  <c r="M88" i="15"/>
  <c r="Q88" i="15" s="1"/>
  <c r="S88" i="15" s="1"/>
  <c r="F184" i="15"/>
  <c r="I170" i="15"/>
  <c r="K170" i="15" s="1"/>
  <c r="F165" i="15"/>
  <c r="I154" i="15"/>
  <c r="K154" i="15" s="1"/>
  <c r="I151" i="15"/>
  <c r="K151" i="15" s="1"/>
  <c r="J149" i="15"/>
  <c r="M147" i="15"/>
  <c r="Q147" i="15" s="1"/>
  <c r="S147" i="15" s="1"/>
  <c r="H135" i="15"/>
  <c r="J201" i="15"/>
  <c r="I193" i="15"/>
  <c r="K193" i="15" s="1"/>
  <c r="H151" i="15"/>
  <c r="H140" i="15"/>
  <c r="G135" i="15"/>
  <c r="I223" i="15"/>
  <c r="K223" i="15" s="1"/>
  <c r="I178" i="15"/>
  <c r="K178" i="15" s="1"/>
  <c r="H161" i="15"/>
  <c r="F115" i="15"/>
  <c r="H223" i="15"/>
  <c r="I212" i="15"/>
  <c r="K212" i="15" s="1"/>
  <c r="F178" i="15"/>
  <c r="G161" i="15"/>
  <c r="G149" i="15"/>
  <c r="J185" i="15"/>
  <c r="I163" i="15"/>
  <c r="K163" i="15" s="1"/>
  <c r="F162" i="15"/>
  <c r="M143" i="15"/>
  <c r="Q143" i="15" s="1"/>
  <c r="S143" i="15" s="1"/>
  <c r="G128" i="15"/>
  <c r="M121" i="15"/>
  <c r="Q121" i="15" s="1"/>
  <c r="S121" i="15" s="1"/>
  <c r="H114" i="15"/>
  <c r="J165" i="15"/>
  <c r="M140" i="15"/>
  <c r="Q140" i="15" s="1"/>
  <c r="S140" i="15" s="1"/>
  <c r="I138" i="15"/>
  <c r="K138" i="15" s="1"/>
  <c r="H132" i="15"/>
  <c r="I214" i="15"/>
  <c r="K214" i="15" s="1"/>
  <c r="F125" i="15"/>
  <c r="J117" i="15"/>
  <c r="G93" i="15"/>
  <c r="I85" i="15"/>
  <c r="K85" i="15" s="1"/>
  <c r="I205" i="15"/>
  <c r="K205" i="15" s="1"/>
  <c r="J186" i="15"/>
  <c r="G162" i="15"/>
  <c r="I130" i="15"/>
  <c r="K130" i="15" s="1"/>
  <c r="J121" i="15"/>
  <c r="F194" i="15"/>
  <c r="G167" i="15"/>
  <c r="H158" i="15"/>
  <c r="M152" i="15"/>
  <c r="Q152" i="15" s="1"/>
  <c r="S152" i="15" s="1"/>
  <c r="M135" i="15"/>
  <c r="Q135" i="15" s="1"/>
  <c r="S135" i="15" s="1"/>
  <c r="G121" i="15"/>
  <c r="H117" i="15"/>
  <c r="G56" i="15"/>
  <c r="F27" i="15"/>
  <c r="F20" i="15"/>
  <c r="G158" i="15"/>
  <c r="I144" i="15"/>
  <c r="K144" i="15" s="1"/>
  <c r="H141" i="15"/>
  <c r="F148" i="15"/>
  <c r="I142" i="15"/>
  <c r="K142" i="15" s="1"/>
  <c r="J136" i="15"/>
  <c r="F122" i="15"/>
  <c r="J90" i="15"/>
  <c r="M189" i="15"/>
  <c r="Q189" i="15" s="1"/>
  <c r="S189" i="15" s="1"/>
  <c r="H142" i="15"/>
  <c r="M127" i="15"/>
  <c r="Q127" i="15" s="1"/>
  <c r="S127" i="15" s="1"/>
  <c r="J109" i="15"/>
  <c r="M108" i="15"/>
  <c r="Q108" i="15" s="1"/>
  <c r="S108" i="15" s="1"/>
  <c r="I90" i="15"/>
  <c r="K90" i="15" s="1"/>
  <c r="J81" i="15"/>
  <c r="N81" i="15" s="1"/>
  <c r="T81" i="15" s="1"/>
  <c r="M61" i="15"/>
  <c r="Q61" i="15" s="1"/>
  <c r="S61" i="15" s="1"/>
  <c r="I137" i="15"/>
  <c r="K137" i="15" s="1"/>
  <c r="J127" i="15"/>
  <c r="J123" i="15"/>
  <c r="G173" i="15"/>
  <c r="H137" i="15"/>
  <c r="I123" i="15"/>
  <c r="K123" i="15" s="1"/>
  <c r="H109" i="15"/>
  <c r="G90" i="15"/>
  <c r="I74" i="15"/>
  <c r="K74" i="15" s="1"/>
  <c r="M67" i="15"/>
  <c r="Q67" i="15" s="1"/>
  <c r="S67" i="15" s="1"/>
  <c r="G53" i="15"/>
  <c r="I159" i="15"/>
  <c r="K159" i="15" s="1"/>
  <c r="G156" i="15"/>
  <c r="H147" i="15"/>
  <c r="H143" i="15"/>
  <c r="J128" i="15"/>
  <c r="F124" i="15"/>
  <c r="G107" i="15"/>
  <c r="I105" i="15"/>
  <c r="K105" i="15" s="1"/>
  <c r="G104" i="15"/>
  <c r="I156" i="15"/>
  <c r="K156" i="15" s="1"/>
  <c r="J106" i="15"/>
  <c r="J93" i="15"/>
  <c r="G86" i="15"/>
  <c r="I81" i="15"/>
  <c r="K81" i="15" s="1"/>
  <c r="I60" i="15"/>
  <c r="K60" i="15" s="1"/>
  <c r="I53" i="15"/>
  <c r="K53" i="15" s="1"/>
  <c r="M10" i="15"/>
  <c r="Q10" i="15" s="1"/>
  <c r="S10" i="15" s="1"/>
  <c r="H106" i="15"/>
  <c r="H93" i="15"/>
  <c r="F86" i="15"/>
  <c r="H85" i="15"/>
  <c r="G81" i="15"/>
  <c r="G71" i="15"/>
  <c r="J65" i="15"/>
  <c r="F81" i="15"/>
  <c r="I76" i="15"/>
  <c r="K76" i="15" s="1"/>
  <c r="J56" i="15"/>
  <c r="J41" i="15"/>
  <c r="N41" i="15" s="1"/>
  <c r="T41" i="15" s="1"/>
  <c r="V41" i="15" s="1"/>
  <c r="J27" i="15"/>
  <c r="I111" i="15"/>
  <c r="K111" i="15" s="1"/>
  <c r="F104" i="15"/>
  <c r="I102" i="15"/>
  <c r="K102" i="15" s="1"/>
  <c r="G77" i="15"/>
  <c r="G65" i="15"/>
  <c r="J59" i="15"/>
  <c r="J120" i="15"/>
  <c r="I132" i="15"/>
  <c r="K132" i="15" s="1"/>
  <c r="M129" i="15"/>
  <c r="Q129" i="15" s="1"/>
  <c r="S129" i="15" s="1"/>
  <c r="H120" i="15"/>
  <c r="H98" i="15"/>
  <c r="H124" i="15"/>
  <c r="H107" i="15"/>
  <c r="I55" i="15"/>
  <c r="K55" i="15" s="1"/>
  <c r="H44" i="15"/>
  <c r="I29" i="15"/>
  <c r="K29" i="15" s="1"/>
  <c r="H172" i="15"/>
  <c r="F74" i="15"/>
  <c r="J62" i="15"/>
  <c r="G55" i="15"/>
  <c r="J40" i="15"/>
  <c r="J26" i="15"/>
  <c r="H15" i="15"/>
  <c r="J12" i="15"/>
  <c r="F137" i="15"/>
  <c r="H174" i="15"/>
  <c r="F143" i="15"/>
  <c r="M119" i="15"/>
  <c r="Q119" i="15" s="1"/>
  <c r="S119" i="15" s="1"/>
  <c r="M89" i="15"/>
  <c r="Q89" i="15" s="1"/>
  <c r="S89" i="15" s="1"/>
  <c r="M87" i="15"/>
  <c r="Q87" i="15" s="1"/>
  <c r="S87" i="15" s="1"/>
  <c r="J86" i="15"/>
  <c r="I119" i="15"/>
  <c r="K119" i="15" s="1"/>
  <c r="F88" i="15"/>
  <c r="H76" i="15"/>
  <c r="H73" i="15"/>
  <c r="G62" i="15"/>
  <c r="J17" i="15"/>
  <c r="H9" i="15"/>
  <c r="I5" i="15"/>
  <c r="K5" i="15" s="1"/>
  <c r="F76" i="15"/>
  <c r="M56" i="15"/>
  <c r="Q56" i="15" s="1"/>
  <c r="S56" i="15" s="1"/>
  <c r="I41" i="15"/>
  <c r="K41" i="15" s="1"/>
  <c r="M40" i="15"/>
  <c r="Q40" i="15" s="1"/>
  <c r="S40" i="15" s="1"/>
  <c r="M37" i="15"/>
  <c r="Q37" i="15" s="1"/>
  <c r="S37" i="15" s="1"/>
  <c r="G9" i="15"/>
  <c r="G5" i="15"/>
  <c r="M115" i="15"/>
  <c r="Q115" i="15" s="1"/>
  <c r="S115" i="15" s="1"/>
  <c r="M74" i="15"/>
  <c r="Q74" i="15" s="1"/>
  <c r="S74" i="15" s="1"/>
  <c r="I67" i="15"/>
  <c r="K67" i="15" s="1"/>
  <c r="J55" i="15"/>
  <c r="I37" i="15"/>
  <c r="K37" i="15" s="1"/>
  <c r="J34" i="15"/>
  <c r="H16" i="15"/>
  <c r="J15" i="15"/>
  <c r="F9" i="15"/>
  <c r="M7" i="15"/>
  <c r="Q7" i="15" s="1"/>
  <c r="S7" i="15" s="1"/>
  <c r="F5" i="15"/>
  <c r="J115" i="15"/>
  <c r="M101" i="15"/>
  <c r="Q101" i="15" s="1"/>
  <c r="S101" i="15" s="1"/>
  <c r="F94" i="15"/>
  <c r="M92" i="15"/>
  <c r="Q92" i="15" s="1"/>
  <c r="S92" i="15" s="1"/>
  <c r="G83" i="15"/>
  <c r="J74" i="15"/>
  <c r="N74" i="15" s="1"/>
  <c r="T74" i="15" s="1"/>
  <c r="V74" i="15" s="1"/>
  <c r="M71" i="15"/>
  <c r="Q71" i="15" s="1"/>
  <c r="S71" i="15" s="1"/>
  <c r="H67" i="15"/>
  <c r="H40" i="15"/>
  <c r="J36" i="15"/>
  <c r="I34" i="15"/>
  <c r="K34" i="15" s="1"/>
  <c r="J29" i="15"/>
  <c r="M26" i="15"/>
  <c r="Q26" i="15" s="1"/>
  <c r="S26" i="15" s="1"/>
  <c r="I15" i="15"/>
  <c r="K15" i="15" s="1"/>
  <c r="M13" i="15"/>
  <c r="Q13" i="15" s="1"/>
  <c r="S13" i="15" s="1"/>
  <c r="E252" i="11"/>
  <c r="G249" i="11"/>
  <c r="C248" i="11"/>
  <c r="J245" i="11"/>
  <c r="H241" i="11"/>
  <c r="J238" i="11"/>
  <c r="F237" i="11"/>
  <c r="H227" i="11"/>
  <c r="J224" i="11"/>
  <c r="F223" i="11"/>
  <c r="H220" i="11"/>
  <c r="K216" i="11"/>
  <c r="C214" i="11"/>
  <c r="J211" i="11"/>
  <c r="G202" i="11"/>
  <c r="J198" i="11"/>
  <c r="F197" i="11"/>
  <c r="H194" i="11"/>
  <c r="K190" i="11"/>
  <c r="H188" i="11"/>
  <c r="J185" i="11"/>
  <c r="F177" i="11"/>
  <c r="E172" i="11"/>
  <c r="H168" i="11"/>
  <c r="G163" i="11"/>
  <c r="C162" i="11"/>
  <c r="J159" i="11"/>
  <c r="F158" i="11"/>
  <c r="C149" i="11"/>
  <c r="E146" i="11"/>
  <c r="I141" i="11"/>
  <c r="E140" i="11"/>
  <c r="G137" i="11"/>
  <c r="C136" i="11"/>
  <c r="J133" i="11"/>
  <c r="F132" i="11"/>
  <c r="J99" i="15"/>
  <c r="I92" i="15"/>
  <c r="K92" i="15" s="1"/>
  <c r="H86" i="15"/>
  <c r="H74" i="15"/>
  <c r="F56" i="15"/>
  <c r="G40" i="15"/>
  <c r="G37" i="15"/>
  <c r="H36" i="15"/>
  <c r="M23" i="15"/>
  <c r="Q23" i="15" s="1"/>
  <c r="S23" i="15" s="1"/>
  <c r="G15" i="15"/>
  <c r="J257" i="11"/>
  <c r="H253" i="11"/>
  <c r="J250" i="11"/>
  <c r="F249" i="11"/>
  <c r="K235" i="11"/>
  <c r="G234" i="11"/>
  <c r="I231" i="11"/>
  <c r="K228" i="11"/>
  <c r="G227" i="11"/>
  <c r="G220" i="11"/>
  <c r="J216" i="11"/>
  <c r="F215" i="11"/>
  <c r="I211" i="11"/>
  <c r="K208" i="11"/>
  <c r="H206" i="11"/>
  <c r="D205" i="11"/>
  <c r="J203" i="11"/>
  <c r="G194" i="11"/>
  <c r="J190" i="11"/>
  <c r="G188" i="11"/>
  <c r="C187" i="11"/>
  <c r="K182" i="11"/>
  <c r="G181" i="11"/>
  <c r="C180" i="11"/>
  <c r="D172" i="11"/>
  <c r="G168" i="11"/>
  <c r="I165" i="11"/>
  <c r="I159" i="11"/>
  <c r="K156" i="11"/>
  <c r="G155" i="11"/>
  <c r="D146" i="11"/>
  <c r="H141" i="11"/>
  <c r="D140" i="11"/>
  <c r="J138" i="11"/>
  <c r="I133" i="11"/>
  <c r="E132" i="11"/>
  <c r="H128" i="11"/>
  <c r="D127" i="11"/>
  <c r="G79" i="15"/>
  <c r="F67" i="15"/>
  <c r="J57" i="15"/>
  <c r="M47" i="15"/>
  <c r="Q47" i="15" s="1"/>
  <c r="S47" i="15" s="1"/>
  <c r="J44" i="15"/>
  <c r="F40" i="15"/>
  <c r="L40" i="15" s="1"/>
  <c r="F37" i="15"/>
  <c r="F36" i="15"/>
  <c r="I24" i="15"/>
  <c r="K24" i="15" s="1"/>
  <c r="I13" i="15"/>
  <c r="K13" i="15" s="1"/>
  <c r="M12" i="15"/>
  <c r="Q12" i="15" s="1"/>
  <c r="S12" i="15" s="1"/>
  <c r="J7" i="15"/>
  <c r="N7" i="15" s="1"/>
  <c r="T7" i="15" s="1"/>
  <c r="V7" i="15" s="1"/>
  <c r="I257" i="11"/>
  <c r="E256" i="11"/>
  <c r="K254" i="11"/>
  <c r="G253" i="11"/>
  <c r="F241" i="11"/>
  <c r="H238" i="11"/>
  <c r="F234" i="11"/>
  <c r="H231" i="11"/>
  <c r="J228" i="11"/>
  <c r="F220" i="11"/>
  <c r="K213" i="11"/>
  <c r="H211" i="11"/>
  <c r="J208" i="11"/>
  <c r="G206" i="11"/>
  <c r="C205" i="11"/>
  <c r="I203" i="11"/>
  <c r="J195" i="11"/>
  <c r="I190" i="11"/>
  <c r="F188" i="11"/>
  <c r="H185" i="11"/>
  <c r="J182" i="11"/>
  <c r="F181" i="11"/>
  <c r="H178" i="11"/>
  <c r="F168" i="11"/>
  <c r="K161" i="11"/>
  <c r="H159" i="11"/>
  <c r="J156" i="11"/>
  <c r="F155" i="11"/>
  <c r="H152" i="11"/>
  <c r="G141" i="11"/>
  <c r="I138" i="11"/>
  <c r="E137" i="11"/>
  <c r="H133" i="11"/>
  <c r="K129" i="11"/>
  <c r="G128" i="11"/>
  <c r="C127" i="11"/>
  <c r="J111" i="15"/>
  <c r="I46" i="15"/>
  <c r="K46" i="15" s="1"/>
  <c r="G33" i="15"/>
  <c r="F32" i="15"/>
  <c r="G26" i="15"/>
  <c r="H24" i="15"/>
  <c r="I23" i="15"/>
  <c r="K23" i="15" s="1"/>
  <c r="H13" i="15"/>
  <c r="I7" i="15"/>
  <c r="K7" i="15" s="1"/>
  <c r="H46" i="15"/>
  <c r="F26" i="15"/>
  <c r="H23" i="15"/>
  <c r="M20" i="15"/>
  <c r="Q20" i="15" s="1"/>
  <c r="S20" i="15" s="1"/>
  <c r="H7" i="15"/>
  <c r="M6" i="15"/>
  <c r="Q6" i="15" s="1"/>
  <c r="S6" i="15" s="1"/>
  <c r="K258" i="11"/>
  <c r="G257" i="11"/>
  <c r="G250" i="11"/>
  <c r="J246" i="11"/>
  <c r="F245" i="11"/>
  <c r="H242" i="11"/>
  <c r="J239" i="11"/>
  <c r="F238" i="11"/>
  <c r="H235" i="11"/>
  <c r="J225" i="11"/>
  <c r="H221" i="11"/>
  <c r="J218" i="11"/>
  <c r="C215" i="11"/>
  <c r="I213" i="11"/>
  <c r="F211" i="11"/>
  <c r="H208" i="11"/>
  <c r="I200" i="11"/>
  <c r="H195" i="11"/>
  <c r="K191" i="11"/>
  <c r="J186" i="11"/>
  <c r="F185" i="11"/>
  <c r="H182" i="11"/>
  <c r="H169" i="11"/>
  <c r="J166" i="11"/>
  <c r="C163" i="11"/>
  <c r="I161" i="11"/>
  <c r="F159" i="11"/>
  <c r="H156" i="11"/>
  <c r="E147" i="11"/>
  <c r="E141" i="11"/>
  <c r="K139" i="11"/>
  <c r="G138" i="11"/>
  <c r="J134" i="11"/>
  <c r="F133" i="11"/>
  <c r="I129" i="11"/>
  <c r="E128" i="11"/>
  <c r="F174" i="15"/>
  <c r="I58" i="15"/>
  <c r="K58" i="15" s="1"/>
  <c r="F47" i="15"/>
  <c r="G46" i="15"/>
  <c r="F24" i="15"/>
  <c r="G23" i="15"/>
  <c r="J22" i="15"/>
  <c r="J21" i="15"/>
  <c r="G7" i="15"/>
  <c r="G3" i="15"/>
  <c r="H105" i="15"/>
  <c r="H95" i="15"/>
  <c r="M82" i="15"/>
  <c r="Q82" i="15" s="1"/>
  <c r="S82" i="15" s="1"/>
  <c r="H64" i="15"/>
  <c r="J60" i="15"/>
  <c r="H59" i="15"/>
  <c r="G58" i="15"/>
  <c r="M51" i="15"/>
  <c r="Q51" i="15" s="1"/>
  <c r="S51" i="15" s="1"/>
  <c r="I49" i="15"/>
  <c r="K49" i="15" s="1"/>
  <c r="H22" i="15"/>
  <c r="J20" i="15"/>
  <c r="G12" i="15"/>
  <c r="I10" i="15"/>
  <c r="K10" i="15" s="1"/>
  <c r="F3" i="15"/>
  <c r="G134" i="15"/>
  <c r="H102" i="15"/>
  <c r="J98" i="15"/>
  <c r="J87" i="15"/>
  <c r="G60" i="15"/>
  <c r="M52" i="15"/>
  <c r="Q52" i="15" s="1"/>
  <c r="S52" i="15" s="1"/>
  <c r="G49" i="15"/>
  <c r="H21" i="15"/>
  <c r="I20" i="15"/>
  <c r="K20" i="15" s="1"/>
  <c r="H10" i="15"/>
  <c r="M9" i="15"/>
  <c r="Q9" i="15" s="1"/>
  <c r="S9" i="15" s="1"/>
  <c r="J6" i="15"/>
  <c r="F110" i="15"/>
  <c r="M93" i="15"/>
  <c r="Q93" i="15" s="1"/>
  <c r="S93" i="15" s="1"/>
  <c r="M78" i="15"/>
  <c r="Q78" i="15" s="1"/>
  <c r="S78" i="15" s="1"/>
  <c r="H51" i="15"/>
  <c r="H50" i="15"/>
  <c r="F21" i="15"/>
  <c r="G10" i="15"/>
  <c r="I6" i="15"/>
  <c r="K6" i="15" s="1"/>
  <c r="G100" i="15"/>
  <c r="J88" i="15"/>
  <c r="M73" i="15"/>
  <c r="Q73" i="15" s="1"/>
  <c r="S73" i="15" s="1"/>
  <c r="J53" i="15"/>
  <c r="F51" i="15"/>
  <c r="G50" i="15"/>
  <c r="G20" i="15"/>
  <c r="F10" i="15"/>
  <c r="G6" i="15"/>
  <c r="I195" i="15"/>
  <c r="K195" i="15" s="1"/>
  <c r="H104" i="15"/>
  <c r="F90" i="15"/>
  <c r="J73" i="15"/>
  <c r="H62" i="15"/>
  <c r="H52" i="15"/>
  <c r="J19" i="15"/>
  <c r="J9" i="15"/>
  <c r="J5" i="15"/>
  <c r="K259" i="11"/>
  <c r="C258" i="11"/>
  <c r="K255" i="11"/>
  <c r="D254" i="11"/>
  <c r="J243" i="11"/>
  <c r="G236" i="11"/>
  <c r="I232" i="11"/>
  <c r="K230" i="11"/>
  <c r="H223" i="11"/>
  <c r="C218" i="11"/>
  <c r="H210" i="11"/>
  <c r="I208" i="11"/>
  <c r="K205" i="11"/>
  <c r="K201" i="11"/>
  <c r="D200" i="11"/>
  <c r="G197" i="11"/>
  <c r="G195" i="11"/>
  <c r="C191" i="11"/>
  <c r="G182" i="11"/>
  <c r="K176" i="11"/>
  <c r="G172" i="11"/>
  <c r="I167" i="11"/>
  <c r="K162" i="11"/>
  <c r="G158" i="11"/>
  <c r="I154" i="11"/>
  <c r="I143" i="11"/>
  <c r="C139" i="11"/>
  <c r="K136" i="11"/>
  <c r="F134" i="11"/>
  <c r="E126" i="11"/>
  <c r="J259" i="11"/>
  <c r="G259" i="11"/>
  <c r="J253" i="11"/>
  <c r="C245" i="11"/>
  <c r="I241" i="11"/>
  <c r="H239" i="11"/>
  <c r="J237" i="11"/>
  <c r="G230" i="11"/>
  <c r="G228" i="11"/>
  <c r="I226" i="11"/>
  <c r="H214" i="11"/>
  <c r="G205" i="11"/>
  <c r="E203" i="11"/>
  <c r="K198" i="11"/>
  <c r="J196" i="11"/>
  <c r="C195" i="11"/>
  <c r="H187" i="11"/>
  <c r="G176" i="11"/>
  <c r="J174" i="11"/>
  <c r="C169" i="11"/>
  <c r="G162" i="11"/>
  <c r="J157" i="11"/>
  <c r="K147" i="11"/>
  <c r="K144" i="11"/>
  <c r="E138" i="11"/>
  <c r="G136" i="11"/>
  <c r="K131" i="11"/>
  <c r="F129" i="11"/>
  <c r="F259" i="11"/>
  <c r="F253" i="11"/>
  <c r="I249" i="11"/>
  <c r="K246" i="11"/>
  <c r="G239" i="11"/>
  <c r="I237" i="11"/>
  <c r="K233" i="11"/>
  <c r="F228" i="11"/>
  <c r="J222" i="11"/>
  <c r="G214" i="11"/>
  <c r="J209" i="11"/>
  <c r="C208" i="11"/>
  <c r="F205" i="11"/>
  <c r="D203" i="11"/>
  <c r="G198" i="11"/>
  <c r="G187" i="11"/>
  <c r="I183" i="11"/>
  <c r="C178" i="11"/>
  <c r="F176" i="11"/>
  <c r="H171" i="11"/>
  <c r="C257" i="11"/>
  <c r="E255" i="11"/>
  <c r="D253" i="11"/>
  <c r="H249" i="11"/>
  <c r="F239" i="11"/>
  <c r="H237" i="11"/>
  <c r="I235" i="11"/>
  <c r="C232" i="11"/>
  <c r="G226" i="11"/>
  <c r="G224" i="11"/>
  <c r="I209" i="11"/>
  <c r="E201" i="11"/>
  <c r="H196" i="11"/>
  <c r="C190" i="11"/>
  <c r="F187" i="11"/>
  <c r="H183" i="11"/>
  <c r="K179" i="11"/>
  <c r="G171" i="11"/>
  <c r="K166" i="11"/>
  <c r="K155" i="11"/>
  <c r="K153" i="11"/>
  <c r="F149" i="11"/>
  <c r="F147" i="11"/>
  <c r="C138" i="11"/>
  <c r="I131" i="11"/>
  <c r="F127" i="11"/>
  <c r="J258" i="11"/>
  <c r="E251" i="11"/>
  <c r="D249" i="11"/>
  <c r="H246" i="11"/>
  <c r="J244" i="11"/>
  <c r="G237" i="11"/>
  <c r="I233" i="11"/>
  <c r="F226" i="11"/>
  <c r="K220" i="11"/>
  <c r="K218" i="11"/>
  <c r="C216" i="11"/>
  <c r="H209" i="11"/>
  <c r="J204" i="11"/>
  <c r="J194" i="11"/>
  <c r="J191" i="11"/>
  <c r="G183" i="11"/>
  <c r="J181" i="11"/>
  <c r="I179" i="11"/>
  <c r="K177" i="11"/>
  <c r="C174" i="11"/>
  <c r="F171" i="11"/>
  <c r="I166" i="11"/>
  <c r="G157" i="11"/>
  <c r="J155" i="11"/>
  <c r="K151" i="11"/>
  <c r="E149" i="11"/>
  <c r="D147" i="11"/>
  <c r="H144" i="11"/>
  <c r="D136" i="11"/>
  <c r="E133" i="11"/>
  <c r="C129" i="11"/>
  <c r="K256" i="11"/>
  <c r="G246" i="11"/>
  <c r="K240" i="11"/>
  <c r="C237" i="11"/>
  <c r="F235" i="11"/>
  <c r="K231" i="11"/>
  <c r="J229" i="11"/>
  <c r="G222" i="11"/>
  <c r="J220" i="11"/>
  <c r="I218" i="11"/>
  <c r="G209" i="11"/>
  <c r="K206" i="11"/>
  <c r="I204" i="11"/>
  <c r="C198" i="11"/>
  <c r="F196" i="11"/>
  <c r="I191" i="11"/>
  <c r="F183" i="11"/>
  <c r="I181" i="11"/>
  <c r="H179" i="11"/>
  <c r="C176" i="11"/>
  <c r="E171" i="11"/>
  <c r="I168" i="11"/>
  <c r="H166" i="11"/>
  <c r="C159" i="11"/>
  <c r="F157" i="11"/>
  <c r="H153" i="11"/>
  <c r="D149" i="11"/>
  <c r="C147" i="11"/>
  <c r="G144" i="11"/>
  <c r="I139" i="11"/>
  <c r="K137" i="11"/>
  <c r="D133" i="11"/>
  <c r="G131" i="11"/>
  <c r="F258" i="11"/>
  <c r="H256" i="11"/>
  <c r="I252" i="11"/>
  <c r="I248" i="11"/>
  <c r="C244" i="11"/>
  <c r="H240" i="11"/>
  <c r="K238" i="11"/>
  <c r="J236" i="11"/>
  <c r="C235" i="11"/>
  <c r="G229" i="11"/>
  <c r="I225" i="11"/>
  <c r="C220" i="11"/>
  <c r="F218" i="11"/>
  <c r="H213" i="11"/>
  <c r="K210" i="11"/>
  <c r="D206" i="11"/>
  <c r="H202" i="11"/>
  <c r="G200" i="11"/>
  <c r="C196" i="11"/>
  <c r="I188" i="11"/>
  <c r="H186" i="11"/>
  <c r="J184" i="11"/>
  <c r="G177" i="11"/>
  <c r="G175" i="11"/>
  <c r="J172" i="11"/>
  <c r="H163" i="11"/>
  <c r="G161" i="11"/>
  <c r="C157" i="11"/>
  <c r="G151" i="11"/>
  <c r="H148" i="11"/>
  <c r="J146" i="11"/>
  <c r="D141" i="11"/>
  <c r="F139" i="11"/>
  <c r="H137" i="11"/>
  <c r="I134" i="11"/>
  <c r="D131" i="11"/>
  <c r="F128" i="11"/>
  <c r="G252" i="11"/>
  <c r="E250" i="11"/>
  <c r="G248" i="11"/>
  <c r="F240" i="11"/>
  <c r="H236" i="11"/>
  <c r="K232" i="11"/>
  <c r="G225" i="11"/>
  <c r="K219" i="11"/>
  <c r="I210" i="11"/>
  <c r="D204" i="11"/>
  <c r="E200" i="11"/>
  <c r="H197" i="11"/>
  <c r="J193" i="11"/>
  <c r="D191" i="11"/>
  <c r="F186" i="11"/>
  <c r="I182" i="11"/>
  <c r="J180" i="11"/>
  <c r="C179" i="11"/>
  <c r="H172" i="11"/>
  <c r="I169" i="11"/>
  <c r="J167" i="11"/>
  <c r="C166" i="11"/>
  <c r="H158" i="11"/>
  <c r="I156" i="11"/>
  <c r="C153" i="11"/>
  <c r="H146" i="11"/>
  <c r="D139" i="11"/>
  <c r="G134" i="11"/>
  <c r="C128" i="11"/>
  <c r="F126" i="11"/>
  <c r="I259" i="11"/>
  <c r="J255" i="11"/>
  <c r="I243" i="11"/>
  <c r="H203" i="11"/>
  <c r="I186" i="11"/>
  <c r="F182" i="11"/>
  <c r="I175" i="11"/>
  <c r="G166" i="11"/>
  <c r="J162" i="11"/>
  <c r="I158" i="11"/>
  <c r="G143" i="11"/>
  <c r="I136" i="11"/>
  <c r="C126" i="11"/>
  <c r="I255" i="11"/>
  <c r="J251" i="11"/>
  <c r="H243" i="11"/>
  <c r="I228" i="11"/>
  <c r="C224" i="11"/>
  <c r="I220" i="11"/>
  <c r="K215" i="11"/>
  <c r="F203" i="11"/>
  <c r="H190" i="11"/>
  <c r="F166" i="11"/>
  <c r="I162" i="11"/>
  <c r="C158" i="11"/>
  <c r="I151" i="11"/>
  <c r="F143" i="11"/>
  <c r="H139" i="11"/>
  <c r="H136" i="11"/>
  <c r="K128" i="11"/>
  <c r="H255" i="11"/>
  <c r="G243" i="11"/>
  <c r="G231" i="11"/>
  <c r="J206" i="11"/>
  <c r="G258" i="11"/>
  <c r="J254" i="11"/>
  <c r="C231" i="11"/>
  <c r="I227" i="11"/>
  <c r="I219" i="11"/>
  <c r="C206" i="11"/>
  <c r="I202" i="11"/>
  <c r="K197" i="11"/>
  <c r="K174" i="11"/>
  <c r="D169" i="11"/>
  <c r="K165" i="11"/>
  <c r="F154" i="11"/>
  <c r="K146" i="11"/>
  <c r="E258" i="11"/>
  <c r="F250" i="11"/>
  <c r="C246" i="11"/>
  <c r="G242" i="11"/>
  <c r="I234" i="11"/>
  <c r="C223" i="11"/>
  <c r="H219" i="11"/>
  <c r="K214" i="11"/>
  <c r="D202" i="11"/>
  <c r="I197" i="11"/>
  <c r="K188" i="11"/>
  <c r="G165" i="11"/>
  <c r="J161" i="11"/>
  <c r="H138" i="11"/>
  <c r="K134" i="11"/>
  <c r="F131" i="11"/>
  <c r="K127" i="11"/>
  <c r="C250" i="11"/>
  <c r="K226" i="11"/>
  <c r="G219" i="11"/>
  <c r="J214" i="11"/>
  <c r="C197" i="11"/>
  <c r="H193" i="11"/>
  <c r="J188" i="11"/>
  <c r="K184" i="11"/>
  <c r="K149" i="11"/>
  <c r="F146" i="11"/>
  <c r="J141" i="11"/>
  <c r="H134" i="11"/>
  <c r="E131" i="11"/>
  <c r="J127" i="11"/>
  <c r="H257" i="11"/>
  <c r="G245" i="11"/>
  <c r="C234" i="11"/>
  <c r="J226" i="11"/>
  <c r="I214" i="11"/>
  <c r="F209" i="11"/>
  <c r="I205" i="11"/>
  <c r="G193" i="11"/>
  <c r="I184" i="11"/>
  <c r="K180" i="11"/>
  <c r="K172" i="11"/>
  <c r="C168" i="11"/>
  <c r="F161" i="11"/>
  <c r="J149" i="11"/>
  <c r="F141" i="11"/>
  <c r="D138" i="11"/>
  <c r="C131" i="11"/>
  <c r="I127" i="11"/>
  <c r="F257" i="11"/>
  <c r="K249" i="11"/>
  <c r="K241" i="11"/>
  <c r="K237" i="11"/>
  <c r="H205" i="11"/>
  <c r="I201" i="11"/>
  <c r="F193" i="11"/>
  <c r="C184" i="11"/>
  <c r="H180" i="11"/>
  <c r="C177" i="11"/>
  <c r="C161" i="11"/>
  <c r="F156" i="11"/>
  <c r="I149" i="11"/>
  <c r="D134" i="11"/>
  <c r="G127" i="11"/>
  <c r="K253" i="11"/>
  <c r="J241" i="11"/>
  <c r="G233" i="11"/>
  <c r="K225" i="11"/>
  <c r="C222" i="11"/>
  <c r="J213" i="11"/>
  <c r="C209" i="11"/>
  <c r="G180" i="11"/>
  <c r="F172" i="11"/>
  <c r="K167" i="11"/>
  <c r="G149" i="11"/>
  <c r="J144" i="11"/>
  <c r="J137" i="11"/>
  <c r="C134" i="11"/>
  <c r="K248" i="11"/>
  <c r="K236" i="11"/>
  <c r="I229" i="11"/>
  <c r="G213" i="11"/>
  <c r="H204" i="11"/>
  <c r="J187" i="11"/>
  <c r="K183" i="11"/>
  <c r="F180" i="11"/>
  <c r="J176" i="11"/>
  <c r="J163" i="11"/>
  <c r="F144" i="11"/>
  <c r="I137" i="11"/>
  <c r="J129" i="11"/>
  <c r="J126" i="11"/>
  <c r="K252" i="11"/>
  <c r="J248" i="11"/>
  <c r="H244" i="11"/>
  <c r="J240" i="11"/>
  <c r="H229" i="11"/>
  <c r="G204" i="11"/>
  <c r="J200" i="11"/>
  <c r="H191" i="11"/>
  <c r="E183" i="11"/>
  <c r="I176" i="11"/>
  <c r="J171" i="11"/>
  <c r="G167" i="11"/>
  <c r="G159" i="11"/>
  <c r="G152" i="11"/>
  <c r="D137" i="11"/>
  <c r="K133" i="11"/>
  <c r="H129" i="11"/>
  <c r="H252" i="11"/>
  <c r="E248" i="11"/>
  <c r="G240" i="11"/>
  <c r="C229" i="11"/>
  <c r="C225" i="11"/>
  <c r="H216" i="11"/>
  <c r="F200" i="11"/>
  <c r="E191" i="11"/>
  <c r="F179" i="11"/>
  <c r="C171" i="11"/>
  <c r="K158" i="11"/>
  <c r="C155" i="11"/>
  <c r="D148" i="11"/>
  <c r="F140" i="11"/>
  <c r="E129" i="11"/>
  <c r="C239" i="11"/>
  <c r="H200" i="11"/>
  <c r="J147" i="11"/>
  <c r="G129" i="11"/>
  <c r="H258" i="11"/>
  <c r="H248" i="11"/>
  <c r="F229" i="11"/>
  <c r="H154" i="11"/>
  <c r="D171" i="11"/>
  <c r="J128" i="11"/>
  <c r="D256" i="11"/>
  <c r="F246" i="11"/>
  <c r="K227" i="11"/>
  <c r="F162" i="11"/>
  <c r="C144" i="11"/>
  <c r="F136" i="11"/>
  <c r="K178" i="11"/>
  <c r="F169" i="11"/>
  <c r="F195" i="11"/>
  <c r="G178" i="11"/>
  <c r="G126" i="11"/>
  <c r="G244" i="11"/>
  <c r="H151" i="11"/>
  <c r="C143" i="11"/>
  <c r="C133" i="11"/>
  <c r="J252" i="11"/>
  <c r="C213" i="11"/>
  <c r="H176" i="11"/>
  <c r="F167" i="11"/>
  <c r="F221" i="11"/>
  <c r="J210" i="11"/>
  <c r="H232" i="11"/>
  <c r="C132" i="11"/>
  <c r="G179" i="11"/>
  <c r="I240" i="11"/>
  <c r="J202" i="11"/>
  <c r="H140" i="11"/>
  <c r="D128" i="11"/>
  <c r="C175" i="11"/>
  <c r="G148" i="11"/>
  <c r="D183" i="11"/>
  <c r="B84" i="9"/>
  <c r="C118" i="9"/>
  <c r="G195" i="9"/>
  <c r="G144" i="15" s="1"/>
  <c r="G221" i="9"/>
  <c r="G223" i="9"/>
  <c r="G215" i="11" s="1"/>
  <c r="C265" i="9"/>
  <c r="C227" i="11" s="1"/>
  <c r="C287" i="9"/>
  <c r="B289" i="9"/>
  <c r="B291" i="9"/>
  <c r="C293" i="9"/>
  <c r="C306" i="9"/>
  <c r="B327" i="9"/>
  <c r="B322" i="9"/>
  <c r="I322" i="9"/>
  <c r="C342" i="9"/>
  <c r="I320" i="9"/>
  <c r="I311" i="15" s="1"/>
  <c r="K311" i="15" s="1"/>
  <c r="C325" i="9"/>
  <c r="A339" i="9"/>
  <c r="G328" i="15" s="1"/>
  <c r="I305" i="9"/>
  <c r="G325" i="9"/>
  <c r="A330" i="9"/>
  <c r="G331" i="9"/>
  <c r="B331" i="9"/>
  <c r="G320" i="9"/>
  <c r="C326" i="9"/>
  <c r="G340" i="9"/>
  <c r="G297" i="9"/>
  <c r="D297" i="9"/>
  <c r="D259" i="11" s="1"/>
  <c r="G305" i="9"/>
  <c r="G317" i="9"/>
  <c r="B323" i="9"/>
  <c r="B326" i="9"/>
  <c r="I331" i="9"/>
  <c r="I340" i="9"/>
  <c r="M302" i="15"/>
  <c r="Q302" i="15" s="1"/>
  <c r="S302" i="15" s="1"/>
  <c r="M295" i="15"/>
  <c r="Q295" i="15" s="1"/>
  <c r="S295" i="15" s="1"/>
  <c r="G302" i="15"/>
  <c r="I298" i="15"/>
  <c r="K298" i="15" s="1"/>
  <c r="J295" i="15"/>
  <c r="N295" i="15" s="1"/>
  <c r="T295" i="15" s="1"/>
  <c r="V295" i="15" s="1"/>
  <c r="G286" i="15"/>
  <c r="J276" i="15"/>
  <c r="H270" i="15"/>
  <c r="I289" i="15"/>
  <c r="K289" i="15" s="1"/>
  <c r="J302" i="15"/>
  <c r="M298" i="15"/>
  <c r="Q298" i="15" s="1"/>
  <c r="S298" i="15" s="1"/>
  <c r="I302" i="15"/>
  <c r="K302" i="15" s="1"/>
  <c r="M278" i="15"/>
  <c r="Q278" i="15" s="1"/>
  <c r="S278" i="15" s="1"/>
  <c r="F274" i="15"/>
  <c r="F302" i="15"/>
  <c r="H298" i="15"/>
  <c r="J278" i="15"/>
  <c r="M276" i="15"/>
  <c r="Q276" i="15" s="1"/>
  <c r="S276" i="15" s="1"/>
  <c r="F298" i="15"/>
  <c r="M294" i="15"/>
  <c r="Q294" i="15" s="1"/>
  <c r="S294" i="15" s="1"/>
  <c r="H299" i="15"/>
  <c r="J294" i="15"/>
  <c r="M289" i="15"/>
  <c r="Q289" i="15" s="1"/>
  <c r="S289" i="15" s="1"/>
  <c r="I287" i="15"/>
  <c r="K287" i="15" s="1"/>
  <c r="I294" i="15"/>
  <c r="K294" i="15" s="1"/>
  <c r="H287" i="15"/>
  <c r="H283" i="15"/>
  <c r="M256" i="15"/>
  <c r="Q256" i="15" s="1"/>
  <c r="S256" i="15" s="1"/>
  <c r="F254" i="15"/>
  <c r="H294" i="15"/>
  <c r="G287" i="15"/>
  <c r="G283" i="15"/>
  <c r="J246" i="15"/>
  <c r="I299" i="15"/>
  <c r="K299" i="15" s="1"/>
  <c r="G294" i="15"/>
  <c r="J289" i="15"/>
  <c r="M288" i="15"/>
  <c r="Q288" i="15" s="1"/>
  <c r="S288" i="15" s="1"/>
  <c r="F287" i="15"/>
  <c r="M275" i="15"/>
  <c r="Q275" i="15" s="1"/>
  <c r="S275" i="15" s="1"/>
  <c r="M274" i="15"/>
  <c r="Q274" i="15" s="1"/>
  <c r="S274" i="15" s="1"/>
  <c r="M270" i="15"/>
  <c r="Q270" i="15" s="1"/>
  <c r="S270" i="15" s="1"/>
  <c r="J256" i="15"/>
  <c r="G289" i="15"/>
  <c r="I276" i="15"/>
  <c r="K276" i="15" s="1"/>
  <c r="M263" i="15"/>
  <c r="Q263" i="15" s="1"/>
  <c r="S263" i="15" s="1"/>
  <c r="I295" i="15"/>
  <c r="K295" i="15" s="1"/>
  <c r="F289" i="15"/>
  <c r="L289" i="15" s="1"/>
  <c r="J288" i="15"/>
  <c r="H276" i="15"/>
  <c r="J275" i="15"/>
  <c r="J274" i="15"/>
  <c r="J270" i="15"/>
  <c r="N270" i="15" s="1"/>
  <c r="T270" i="15" s="1"/>
  <c r="V270" i="15" s="1"/>
  <c r="G295" i="15"/>
  <c r="G276" i="15"/>
  <c r="G275" i="15"/>
  <c r="I274" i="15"/>
  <c r="K274" i="15" s="1"/>
  <c r="I270" i="15"/>
  <c r="K270" i="15" s="1"/>
  <c r="M267" i="15"/>
  <c r="Q267" i="15" s="1"/>
  <c r="S267" i="15" s="1"/>
  <c r="F256" i="15"/>
  <c r="I248" i="15"/>
  <c r="K248" i="15" s="1"/>
  <c r="F295" i="15"/>
  <c r="M286" i="15"/>
  <c r="Q286" i="15" s="1"/>
  <c r="S286" i="15" s="1"/>
  <c r="F285" i="15"/>
  <c r="F275" i="15"/>
  <c r="G274" i="15"/>
  <c r="G270" i="15"/>
  <c r="M269" i="15"/>
  <c r="Q269" i="15" s="1"/>
  <c r="S269" i="15" s="1"/>
  <c r="J267" i="15"/>
  <c r="J264" i="15"/>
  <c r="J263" i="15"/>
  <c r="M258" i="15"/>
  <c r="Q258" i="15" s="1"/>
  <c r="S258" i="15" s="1"/>
  <c r="G300" i="15"/>
  <c r="F267" i="15"/>
  <c r="G265" i="15"/>
  <c r="F252" i="15"/>
  <c r="G251" i="15"/>
  <c r="H250" i="15"/>
  <c r="G248" i="15"/>
  <c r="H242" i="15"/>
  <c r="F300" i="15"/>
  <c r="M297" i="15"/>
  <c r="Q297" i="15" s="1"/>
  <c r="S297" i="15" s="1"/>
  <c r="I286" i="15"/>
  <c r="K286" i="15" s="1"/>
  <c r="F265" i="15"/>
  <c r="I263" i="15"/>
  <c r="K263" i="15" s="1"/>
  <c r="I258" i="15"/>
  <c r="K258" i="15" s="1"/>
  <c r="M291" i="15"/>
  <c r="Q291" i="15" s="1"/>
  <c r="S291" i="15" s="1"/>
  <c r="H286" i="15"/>
  <c r="H263" i="15"/>
  <c r="H258" i="15"/>
  <c r="F294" i="15"/>
  <c r="M283" i="15"/>
  <c r="Q283" i="15" s="1"/>
  <c r="S283" i="15" s="1"/>
  <c r="I278" i="15"/>
  <c r="K278" i="15" s="1"/>
  <c r="G296" i="15"/>
  <c r="J283" i="15"/>
  <c r="H278" i="15"/>
  <c r="L278" i="15" s="1"/>
  <c r="F270" i="15"/>
  <c r="F263" i="15"/>
  <c r="F258" i="15"/>
  <c r="F246" i="15"/>
  <c r="F296" i="15"/>
  <c r="M293" i="15"/>
  <c r="Q293" i="15" s="1"/>
  <c r="S293" i="15" s="1"/>
  <c r="I283" i="15"/>
  <c r="K283" i="15" s="1"/>
  <c r="G278" i="15"/>
  <c r="F299" i="15"/>
  <c r="F293" i="15"/>
  <c r="M301" i="15"/>
  <c r="Q301" i="15" s="1"/>
  <c r="S301" i="15" s="1"/>
  <c r="G298" i="15"/>
  <c r="H289" i="15"/>
  <c r="J287" i="15"/>
  <c r="N287" i="15" s="1"/>
  <c r="T287" i="15" s="1"/>
  <c r="V287" i="15" s="1"/>
  <c r="F282" i="15"/>
  <c r="G268" i="15"/>
  <c r="J261" i="15"/>
  <c r="J255" i="15"/>
  <c r="G254" i="15"/>
  <c r="H248" i="15"/>
  <c r="F245" i="15"/>
  <c r="I242" i="15"/>
  <c r="K242" i="15" s="1"/>
  <c r="I239" i="15"/>
  <c r="K239" i="15" s="1"/>
  <c r="G293" i="15"/>
  <c r="G280" i="15"/>
  <c r="G263" i="15"/>
  <c r="I261" i="15"/>
  <c r="K261" i="15" s="1"/>
  <c r="G255" i="15"/>
  <c r="F248" i="15"/>
  <c r="G242" i="15"/>
  <c r="H239" i="15"/>
  <c r="I256" i="15"/>
  <c r="K256" i="15" s="1"/>
  <c r="H256" i="15"/>
  <c r="H284" i="15"/>
  <c r="H267" i="15"/>
  <c r="H279" i="15"/>
  <c r="G267" i="15"/>
  <c r="L267" i="15" s="1"/>
  <c r="M257" i="15"/>
  <c r="Q257" i="15" s="1"/>
  <c r="S257" i="15" s="1"/>
  <c r="I250" i="15"/>
  <c r="K250" i="15" s="1"/>
  <c r="F278" i="15"/>
  <c r="F269" i="15"/>
  <c r="I251" i="15"/>
  <c r="K251" i="15" s="1"/>
  <c r="I264" i="15"/>
  <c r="K264" i="15" s="1"/>
  <c r="M262" i="15"/>
  <c r="Q262" i="15" s="1"/>
  <c r="S262" i="15" s="1"/>
  <c r="M254" i="15"/>
  <c r="Q254" i="15" s="1"/>
  <c r="S254" i="15" s="1"/>
  <c r="J252" i="15"/>
  <c r="H251" i="15"/>
  <c r="M290" i="15"/>
  <c r="Q290" i="15" s="1"/>
  <c r="S290" i="15" s="1"/>
  <c r="G282" i="15"/>
  <c r="F264" i="15"/>
  <c r="O264" i="15" s="1"/>
  <c r="M261" i="15"/>
  <c r="Q261" i="15" s="1"/>
  <c r="S261" i="15" s="1"/>
  <c r="G256" i="15"/>
  <c r="J253" i="15"/>
  <c r="I253" i="15"/>
  <c r="K253" i="15" s="1"/>
  <c r="M247" i="15"/>
  <c r="Q247" i="15" s="1"/>
  <c r="S247" i="15" s="1"/>
  <c r="G258" i="15"/>
  <c r="J254" i="15"/>
  <c r="F277" i="15"/>
  <c r="I254" i="15"/>
  <c r="K254" i="15" s="1"/>
  <c r="H254" i="15"/>
  <c r="I252" i="15"/>
  <c r="K252" i="15" s="1"/>
  <c r="J250" i="15"/>
  <c r="M245" i="15"/>
  <c r="Q245" i="15" s="1"/>
  <c r="S245" i="15" s="1"/>
  <c r="J266" i="15"/>
  <c r="I260" i="15"/>
  <c r="K260" i="15" s="1"/>
  <c r="G252" i="15"/>
  <c r="M242" i="15"/>
  <c r="Q242" i="15" s="1"/>
  <c r="S242" i="15" s="1"/>
  <c r="I266" i="15"/>
  <c r="K266" i="15" s="1"/>
  <c r="J248" i="15"/>
  <c r="J245" i="15"/>
  <c r="N245" i="15" s="1"/>
  <c r="T245" i="15" s="1"/>
  <c r="V245" i="15" s="1"/>
  <c r="M255" i="15"/>
  <c r="Q255" i="15" s="1"/>
  <c r="S255" i="15" s="1"/>
  <c r="M246" i="15"/>
  <c r="Q246" i="15" s="1"/>
  <c r="S246" i="15" s="1"/>
  <c r="G245" i="15"/>
  <c r="J239" i="15"/>
  <c r="H246" i="15"/>
  <c r="G246" i="15"/>
  <c r="I243" i="15"/>
  <c r="K243" i="15" s="1"/>
  <c r="I246" i="15"/>
  <c r="K246" i="15" s="1"/>
  <c r="H243" i="15"/>
  <c r="J238" i="15"/>
  <c r="G238" i="15"/>
  <c r="M253" i="15"/>
  <c r="Q253" i="15" s="1"/>
  <c r="S253" i="15" s="1"/>
  <c r="J242" i="15"/>
  <c r="F242" i="15"/>
  <c r="M239" i="15"/>
  <c r="Q239" i="15" s="1"/>
  <c r="S239" i="15" s="1"/>
  <c r="H268" i="15"/>
  <c r="G239" i="15"/>
  <c r="F239" i="15"/>
  <c r="F95" i="8"/>
  <c r="F85" i="8"/>
  <c r="C341" i="9"/>
  <c r="F21" i="11"/>
  <c r="F22" i="15"/>
  <c r="M19" i="15"/>
  <c r="Q19" i="15" s="1"/>
  <c r="S19" i="15" s="1"/>
  <c r="M3" i="15"/>
  <c r="Q3" i="15" s="1"/>
  <c r="M11" i="15"/>
  <c r="Q11" i="15" s="1"/>
  <c r="S11" i="15" s="1"/>
  <c r="M48" i="15"/>
  <c r="Q48" i="15" s="1"/>
  <c r="S48" i="15" s="1"/>
  <c r="C48" i="15"/>
  <c r="F48" i="15"/>
  <c r="E48" i="15"/>
  <c r="C72" i="15"/>
  <c r="I72" i="15"/>
  <c r="K72" i="15" s="1"/>
  <c r="E72" i="15"/>
  <c r="D72" i="15"/>
  <c r="B72" i="15"/>
  <c r="M72" i="15"/>
  <c r="Q72" i="15" s="1"/>
  <c r="S72" i="15" s="1"/>
  <c r="G75" i="15"/>
  <c r="J75" i="15"/>
  <c r="H75" i="15"/>
  <c r="D75" i="15"/>
  <c r="B75" i="15"/>
  <c r="F75" i="15"/>
  <c r="E75" i="15"/>
  <c r="C3" i="15"/>
  <c r="E11" i="15"/>
  <c r="C22" i="15"/>
  <c r="B48" i="15"/>
  <c r="C58" i="15"/>
  <c r="H58" i="15"/>
  <c r="B58" i="15"/>
  <c r="D58" i="15"/>
  <c r="J64" i="15"/>
  <c r="N64" i="15" s="1"/>
  <c r="T64" i="15" s="1"/>
  <c r="G64" i="15"/>
  <c r="E64" i="15"/>
  <c r="M64" i="15"/>
  <c r="Q64" i="15" s="1"/>
  <c r="S64" i="15" s="1"/>
  <c r="I64" i="15"/>
  <c r="K64" i="15" s="1"/>
  <c r="D64" i="15"/>
  <c r="C64" i="15"/>
  <c r="I68" i="15"/>
  <c r="K68" i="15" s="1"/>
  <c r="F68" i="15"/>
  <c r="J68" i="15"/>
  <c r="H68" i="15"/>
  <c r="F72" i="15"/>
  <c r="C75" i="15"/>
  <c r="D3" i="15"/>
  <c r="G11" i="15"/>
  <c r="E22" i="15"/>
  <c r="B24" i="15"/>
  <c r="E24" i="15"/>
  <c r="C25" i="15"/>
  <c r="I25" i="15"/>
  <c r="K25" i="15" s="1"/>
  <c r="F25" i="15"/>
  <c r="I45" i="15"/>
  <c r="K45" i="15" s="1"/>
  <c r="J45" i="15"/>
  <c r="D45" i="15"/>
  <c r="M45" i="15"/>
  <c r="Q45" i="15" s="1"/>
  <c r="S45" i="15" s="1"/>
  <c r="C45" i="15"/>
  <c r="B45" i="15"/>
  <c r="D48" i="15"/>
  <c r="E58" i="15"/>
  <c r="B64" i="15"/>
  <c r="B68" i="15"/>
  <c r="I75" i="15"/>
  <c r="K75" i="15" s="1"/>
  <c r="G82" i="15"/>
  <c r="J82" i="15"/>
  <c r="N82" i="15" s="1"/>
  <c r="T82" i="15" s="1"/>
  <c r="H82" i="15"/>
  <c r="D82" i="15"/>
  <c r="B82" i="15"/>
  <c r="I82" i="15"/>
  <c r="K82" i="15" s="1"/>
  <c r="F82" i="15"/>
  <c r="C82" i="15"/>
  <c r="E3" i="15"/>
  <c r="J11" i="15"/>
  <c r="F14" i="15"/>
  <c r="D14" i="15"/>
  <c r="H32" i="15"/>
  <c r="C32" i="15"/>
  <c r="I32" i="15"/>
  <c r="K32" i="15" s="1"/>
  <c r="G32" i="15"/>
  <c r="I33" i="15"/>
  <c r="K33" i="15" s="1"/>
  <c r="H33" i="15"/>
  <c r="C33" i="15"/>
  <c r="B33" i="15"/>
  <c r="G48" i="15"/>
  <c r="I57" i="15"/>
  <c r="K57" i="15" s="1"/>
  <c r="G57" i="15"/>
  <c r="E57" i="15"/>
  <c r="C57" i="15"/>
  <c r="F58" i="15"/>
  <c r="F64" i="15"/>
  <c r="C68" i="15"/>
  <c r="H72" i="15"/>
  <c r="E82" i="15"/>
  <c r="E91" i="15"/>
  <c r="J91" i="15"/>
  <c r="G91" i="15"/>
  <c r="F91" i="15"/>
  <c r="C91" i="15"/>
  <c r="M91" i="15"/>
  <c r="Q91" i="15" s="1"/>
  <c r="S91" i="15" s="1"/>
  <c r="D91" i="15"/>
  <c r="B4" i="15"/>
  <c r="G4" i="15"/>
  <c r="E4" i="15"/>
  <c r="I8" i="15"/>
  <c r="K8" i="15" s="1"/>
  <c r="G8" i="15"/>
  <c r="F28" i="15"/>
  <c r="D28" i="15"/>
  <c r="B31" i="15"/>
  <c r="F31" i="15"/>
  <c r="D31" i="15"/>
  <c r="M31" i="15"/>
  <c r="Q31" i="15" s="1"/>
  <c r="S31" i="15" s="1"/>
  <c r="G35" i="15"/>
  <c r="M35" i="15"/>
  <c r="Q35" i="15" s="1"/>
  <c r="S35" i="15" s="1"/>
  <c r="F35" i="15"/>
  <c r="E35" i="15"/>
  <c r="L35" i="15" s="1"/>
  <c r="H39" i="15"/>
  <c r="C39" i="15"/>
  <c r="I39" i="15"/>
  <c r="K39" i="15" s="1"/>
  <c r="H43" i="15"/>
  <c r="C43" i="15"/>
  <c r="E43" i="15"/>
  <c r="B43" i="15"/>
  <c r="H48" i="15"/>
  <c r="J72" i="15"/>
  <c r="N72" i="15" s="1"/>
  <c r="T72" i="15" s="1"/>
  <c r="V72" i="15" s="1"/>
  <c r="M75" i="15"/>
  <c r="Q75" i="15" s="1"/>
  <c r="S75" i="15" s="1"/>
  <c r="L6" i="15"/>
  <c r="P6" i="15" s="1"/>
  <c r="L10" i="15"/>
  <c r="P10" i="15" s="1"/>
  <c r="L13" i="15"/>
  <c r="L20" i="15"/>
  <c r="P20" i="15" s="1"/>
  <c r="J30" i="15"/>
  <c r="E30" i="15"/>
  <c r="I30" i="15"/>
  <c r="K30" i="15" s="1"/>
  <c r="C30" i="15"/>
  <c r="B30" i="15"/>
  <c r="P38" i="14" s="1"/>
  <c r="B38" i="15"/>
  <c r="F38" i="15"/>
  <c r="E38" i="15"/>
  <c r="E42" i="15"/>
  <c r="J42" i="15"/>
  <c r="G42" i="15"/>
  <c r="I48" i="15"/>
  <c r="K48" i="15" s="1"/>
  <c r="E63" i="15"/>
  <c r="B63" i="15"/>
  <c r="H63" i="15"/>
  <c r="G63" i="15"/>
  <c r="H3" i="15"/>
  <c r="D4" i="15"/>
  <c r="H5" i="15"/>
  <c r="M5" i="15"/>
  <c r="Q5" i="15" s="1"/>
  <c r="S5" i="15" s="1"/>
  <c r="C8" i="15"/>
  <c r="E14" i="15"/>
  <c r="E16" i="15"/>
  <c r="I16" i="15"/>
  <c r="K16" i="15" s="1"/>
  <c r="B16" i="15"/>
  <c r="G24" i="15"/>
  <c r="G25" i="15"/>
  <c r="C28" i="15"/>
  <c r="D30" i="15"/>
  <c r="E31" i="15"/>
  <c r="E32" i="15"/>
  <c r="L32" i="15" s="1"/>
  <c r="F33" i="15"/>
  <c r="C35" i="15"/>
  <c r="C38" i="15"/>
  <c r="D39" i="15"/>
  <c r="B42" i="15"/>
  <c r="F43" i="15"/>
  <c r="H45" i="15"/>
  <c r="J48" i="15"/>
  <c r="F57" i="15"/>
  <c r="J58" i="15"/>
  <c r="N58" i="15" s="1"/>
  <c r="T58" i="15" s="1"/>
  <c r="C63" i="15"/>
  <c r="C79" i="15"/>
  <c r="D79" i="15"/>
  <c r="M79" i="15"/>
  <c r="Q79" i="15" s="1"/>
  <c r="S79" i="15" s="1"/>
  <c r="H79" i="15"/>
  <c r="F79" i="15"/>
  <c r="J79" i="15"/>
  <c r="E79" i="15"/>
  <c r="G96" i="15"/>
  <c r="M96" i="15"/>
  <c r="Q96" i="15" s="1"/>
  <c r="S96" i="15" s="1"/>
  <c r="I96" i="15"/>
  <c r="K96" i="15" s="1"/>
  <c r="F96" i="15"/>
  <c r="E96" i="15"/>
  <c r="C96" i="15"/>
  <c r="D96" i="15"/>
  <c r="I3" i="15"/>
  <c r="K3" i="15" s="1"/>
  <c r="F4" i="15"/>
  <c r="D8" i="15"/>
  <c r="B17" i="15"/>
  <c r="F17" i="15"/>
  <c r="D17" i="15"/>
  <c r="M17" i="15"/>
  <c r="Q17" i="15" s="1"/>
  <c r="S17" i="15" s="1"/>
  <c r="H18" i="15"/>
  <c r="C18" i="15"/>
  <c r="G18" i="15"/>
  <c r="E28" i="15"/>
  <c r="F30" i="15"/>
  <c r="D35" i="15"/>
  <c r="D38" i="15"/>
  <c r="E39" i="15"/>
  <c r="C42" i="15"/>
  <c r="G43" i="15"/>
  <c r="M58" i="15"/>
  <c r="Q58" i="15" s="1"/>
  <c r="S58" i="15" s="1"/>
  <c r="D63" i="15"/>
  <c r="I66" i="15"/>
  <c r="K66" i="15" s="1"/>
  <c r="F66" i="15"/>
  <c r="J66" i="15"/>
  <c r="G66" i="15"/>
  <c r="E66" i="15"/>
  <c r="C66" i="15"/>
  <c r="M68" i="15"/>
  <c r="Q68" i="15" s="1"/>
  <c r="S68" i="15" s="1"/>
  <c r="E70" i="15"/>
  <c r="L70" i="15" s="1"/>
  <c r="M70" i="15"/>
  <c r="Q70" i="15" s="1"/>
  <c r="S70" i="15" s="1"/>
  <c r="J70" i="15"/>
  <c r="H70" i="15"/>
  <c r="G70" i="15"/>
  <c r="C70" i="15"/>
  <c r="B70" i="15"/>
  <c r="H4" i="15"/>
  <c r="E8" i="15"/>
  <c r="C17" i="15"/>
  <c r="B18" i="15"/>
  <c r="I19" i="15"/>
  <c r="K19" i="15" s="1"/>
  <c r="H19" i="15"/>
  <c r="B19" i="15"/>
  <c r="H28" i="15"/>
  <c r="G30" i="15"/>
  <c r="H31" i="15"/>
  <c r="J33" i="15"/>
  <c r="H35" i="15"/>
  <c r="G38" i="15"/>
  <c r="G39" i="15"/>
  <c r="I43" i="15"/>
  <c r="K43" i="15" s="1"/>
  <c r="G54" i="15"/>
  <c r="E54" i="15"/>
  <c r="D54" i="15"/>
  <c r="B54" i="15"/>
  <c r="M54" i="15"/>
  <c r="Q54" i="15" s="1"/>
  <c r="S54" i="15" s="1"/>
  <c r="F63" i="15"/>
  <c r="B66" i="15"/>
  <c r="D70" i="15"/>
  <c r="I4" i="15"/>
  <c r="K4" i="15" s="1"/>
  <c r="F8" i="15"/>
  <c r="J14" i="15"/>
  <c r="E17" i="15"/>
  <c r="D18" i="15"/>
  <c r="C19" i="15"/>
  <c r="I28" i="15"/>
  <c r="K28" i="15" s="1"/>
  <c r="H30" i="15"/>
  <c r="I31" i="15"/>
  <c r="K31" i="15" s="1"/>
  <c r="H38" i="15"/>
  <c r="J39" i="15"/>
  <c r="H42" i="15"/>
  <c r="J43" i="15"/>
  <c r="C54" i="15"/>
  <c r="I63" i="15"/>
  <c r="K63" i="15" s="1"/>
  <c r="D66" i="15"/>
  <c r="F70" i="15"/>
  <c r="J4" i="15"/>
  <c r="E5" i="15"/>
  <c r="H6" i="15"/>
  <c r="F6" i="15"/>
  <c r="L7" i="15"/>
  <c r="P7" i="15" s="1"/>
  <c r="H8" i="15"/>
  <c r="J10" i="15"/>
  <c r="G16" i="15"/>
  <c r="G17" i="15"/>
  <c r="E18" i="15"/>
  <c r="D19" i="15"/>
  <c r="M24" i="15"/>
  <c r="Q24" i="15" s="1"/>
  <c r="S24" i="15" s="1"/>
  <c r="M25" i="15"/>
  <c r="Q25" i="15" s="1"/>
  <c r="S25" i="15" s="1"/>
  <c r="J28" i="15"/>
  <c r="M33" i="15"/>
  <c r="Q33" i="15" s="1"/>
  <c r="S33" i="15" s="1"/>
  <c r="J35" i="15"/>
  <c r="I38" i="15"/>
  <c r="K38" i="15" s="1"/>
  <c r="I52" i="15"/>
  <c r="K52" i="15" s="1"/>
  <c r="E52" i="15"/>
  <c r="F52" i="15"/>
  <c r="D52" i="15"/>
  <c r="F54" i="15"/>
  <c r="J63" i="15"/>
  <c r="N63" i="15" s="1"/>
  <c r="T63" i="15" s="1"/>
  <c r="V63" i="15" s="1"/>
  <c r="I70" i="15"/>
  <c r="K70" i="15" s="1"/>
  <c r="J8" i="15"/>
  <c r="M14" i="15"/>
  <c r="Q14" i="15" s="1"/>
  <c r="S14" i="15" s="1"/>
  <c r="H17" i="15"/>
  <c r="F18" i="15"/>
  <c r="E19" i="15"/>
  <c r="M30" i="15"/>
  <c r="Q30" i="15" s="1"/>
  <c r="S30" i="15" s="1"/>
  <c r="M32" i="15"/>
  <c r="Q32" i="15" s="1"/>
  <c r="S32" i="15" s="1"/>
  <c r="J38" i="15"/>
  <c r="H54" i="15"/>
  <c r="M66" i="15"/>
  <c r="Q66" i="15" s="1"/>
  <c r="S66" i="15" s="1"/>
  <c r="M69" i="15"/>
  <c r="Q69" i="15" s="1"/>
  <c r="S69" i="15" s="1"/>
  <c r="E69" i="15"/>
  <c r="B69" i="15"/>
  <c r="G69" i="15"/>
  <c r="F69" i="15"/>
  <c r="M97" i="15"/>
  <c r="Q97" i="15" s="1"/>
  <c r="S97" i="15" s="1"/>
  <c r="E97" i="15"/>
  <c r="H97" i="15"/>
  <c r="J97" i="15"/>
  <c r="F97" i="15"/>
  <c r="C97" i="15"/>
  <c r="B97" i="15"/>
  <c r="D97" i="15"/>
  <c r="I17" i="15"/>
  <c r="K17" i="15" s="1"/>
  <c r="I18" i="15"/>
  <c r="K18" i="15" s="1"/>
  <c r="F19" i="15"/>
  <c r="G21" i="15"/>
  <c r="E21" i="15"/>
  <c r="M28" i="15"/>
  <c r="Q28" i="15" s="1"/>
  <c r="S28" i="15" s="1"/>
  <c r="M38" i="15"/>
  <c r="Q38" i="15" s="1"/>
  <c r="S38" i="15" s="1"/>
  <c r="M42" i="15"/>
  <c r="Q42" i="15" s="1"/>
  <c r="S42" i="15" s="1"/>
  <c r="D50" i="15"/>
  <c r="F50" i="15"/>
  <c r="C50" i="15"/>
  <c r="M50" i="15"/>
  <c r="Q50" i="15" s="1"/>
  <c r="S50" i="15" s="1"/>
  <c r="I54" i="15"/>
  <c r="K54" i="15" s="1"/>
  <c r="C69" i="15"/>
  <c r="J3" i="15"/>
  <c r="M4" i="15"/>
  <c r="Q4" i="15" s="1"/>
  <c r="S4" i="15" s="1"/>
  <c r="M8" i="15"/>
  <c r="Q8" i="15" s="1"/>
  <c r="S8" i="15" s="1"/>
  <c r="H11" i="15"/>
  <c r="B11" i="15"/>
  <c r="I11" i="15"/>
  <c r="K11" i="15" s="1"/>
  <c r="F11" i="15"/>
  <c r="D22" i="15"/>
  <c r="M22" i="15"/>
  <c r="Q22" i="15" s="1"/>
  <c r="S22" i="15" s="1"/>
  <c r="I22" i="15"/>
  <c r="K22" i="15" s="1"/>
  <c r="G22" i="15"/>
  <c r="C65" i="15"/>
  <c r="D65" i="15"/>
  <c r="M65" i="15"/>
  <c r="Q65" i="15" s="1"/>
  <c r="S65" i="15" s="1"/>
  <c r="D36" i="15"/>
  <c r="E49" i="15"/>
  <c r="F49" i="15"/>
  <c r="E77" i="15"/>
  <c r="I77" i="15"/>
  <c r="K77" i="15" s="1"/>
  <c r="F77" i="15"/>
  <c r="C77" i="15"/>
  <c r="D78" i="15"/>
  <c r="B78" i="15"/>
  <c r="G80" i="15"/>
  <c r="E80" i="15"/>
  <c r="B80" i="15"/>
  <c r="E84" i="15"/>
  <c r="I84" i="15"/>
  <c r="K84" i="15" s="1"/>
  <c r="G84" i="15"/>
  <c r="I101" i="15"/>
  <c r="K101" i="15" s="1"/>
  <c r="I113" i="15"/>
  <c r="K113" i="15" s="1"/>
  <c r="C113" i="15"/>
  <c r="E113" i="15"/>
  <c r="D113" i="15"/>
  <c r="G113" i="15"/>
  <c r="B113" i="15"/>
  <c r="M113" i="15"/>
  <c r="Q113" i="15" s="1"/>
  <c r="S113" i="15" s="1"/>
  <c r="M83" i="15"/>
  <c r="Q83" i="15" s="1"/>
  <c r="S83" i="15" s="1"/>
  <c r="E83" i="15"/>
  <c r="D83" i="15"/>
  <c r="B83" i="15"/>
  <c r="H113" i="15"/>
  <c r="F83" i="15"/>
  <c r="I87" i="15"/>
  <c r="K87" i="15" s="1"/>
  <c r="G87" i="15"/>
  <c r="H87" i="15"/>
  <c r="E87" i="15"/>
  <c r="L87" i="15" s="1"/>
  <c r="G89" i="15"/>
  <c r="H89" i="15"/>
  <c r="F89" i="15"/>
  <c r="B89" i="15"/>
  <c r="P32" i="14" s="1"/>
  <c r="M118" i="15"/>
  <c r="Q118" i="15" s="1"/>
  <c r="S118" i="15" s="1"/>
  <c r="E118" i="15"/>
  <c r="B118" i="15"/>
  <c r="J118" i="15"/>
  <c r="G118" i="15"/>
  <c r="H118" i="15"/>
  <c r="D118" i="15"/>
  <c r="E133" i="15"/>
  <c r="C133" i="15"/>
  <c r="B133" i="15"/>
  <c r="D133" i="15"/>
  <c r="M133" i="15"/>
  <c r="Q133" i="15" s="1"/>
  <c r="S133" i="15" s="1"/>
  <c r="I133" i="15"/>
  <c r="K133" i="15" s="1"/>
  <c r="J133" i="15"/>
  <c r="N133" i="15" s="1"/>
  <c r="T133" i="15" s="1"/>
  <c r="V133" i="15" s="1"/>
  <c r="H133" i="15"/>
  <c r="G133" i="15"/>
  <c r="F133" i="15"/>
  <c r="B153" i="15"/>
  <c r="H153" i="15"/>
  <c r="M153" i="15"/>
  <c r="Q153" i="15" s="1"/>
  <c r="S153" i="15" s="1"/>
  <c r="J153" i="15"/>
  <c r="I153" i="15"/>
  <c r="K153" i="15" s="1"/>
  <c r="G153" i="15"/>
  <c r="F153" i="15"/>
  <c r="E153" i="15"/>
  <c r="C153" i="15"/>
  <c r="I9" i="15"/>
  <c r="K9" i="15" s="1"/>
  <c r="D9" i="15"/>
  <c r="I12" i="15"/>
  <c r="K12" i="15" s="1"/>
  <c r="J23" i="15"/>
  <c r="N23" i="15" s="1"/>
  <c r="T23" i="15" s="1"/>
  <c r="V23" i="15" s="1"/>
  <c r="E23" i="15"/>
  <c r="I26" i="15"/>
  <c r="K26" i="15" s="1"/>
  <c r="G36" i="15"/>
  <c r="J37" i="15"/>
  <c r="N37" i="15" s="1"/>
  <c r="T37" i="15" s="1"/>
  <c r="E37" i="15"/>
  <c r="I40" i="15"/>
  <c r="K40" i="15" s="1"/>
  <c r="H49" i="15"/>
  <c r="I65" i="15"/>
  <c r="K65" i="15" s="1"/>
  <c r="J77" i="15"/>
  <c r="H78" i="15"/>
  <c r="J80" i="15"/>
  <c r="H83" i="15"/>
  <c r="H84" i="15"/>
  <c r="C87" i="15"/>
  <c r="D89" i="15"/>
  <c r="F118" i="15"/>
  <c r="I83" i="15"/>
  <c r="K83" i="15" s="1"/>
  <c r="E89" i="15"/>
  <c r="G110" i="15"/>
  <c r="E110" i="15"/>
  <c r="M110" i="15"/>
  <c r="Q110" i="15" s="1"/>
  <c r="S110" i="15" s="1"/>
  <c r="I110" i="15"/>
  <c r="K110" i="15" s="1"/>
  <c r="J110" i="15"/>
  <c r="D110" i="15"/>
  <c r="F7" i="15"/>
  <c r="C9" i="15"/>
  <c r="C12" i="15"/>
  <c r="D15" i="15"/>
  <c r="M15" i="15"/>
  <c r="Q15" i="15" s="1"/>
  <c r="S15" i="15" s="1"/>
  <c r="C23" i="15"/>
  <c r="C26" i="15"/>
  <c r="D29" i="15"/>
  <c r="M29" i="15"/>
  <c r="Q29" i="15" s="1"/>
  <c r="S29" i="15" s="1"/>
  <c r="I36" i="15"/>
  <c r="K36" i="15" s="1"/>
  <c r="C37" i="15"/>
  <c r="C40" i="15"/>
  <c r="G47" i="15"/>
  <c r="J47" i="15"/>
  <c r="D47" i="15"/>
  <c r="J49" i="15"/>
  <c r="N49" i="15" s="1"/>
  <c r="T49" i="15" s="1"/>
  <c r="V49" i="15" s="1"/>
  <c r="C51" i="15"/>
  <c r="M55" i="15"/>
  <c r="Q55" i="15" s="1"/>
  <c r="S55" i="15" s="1"/>
  <c r="H55" i="15"/>
  <c r="M62" i="15"/>
  <c r="Q62" i="15" s="1"/>
  <c r="S62" i="15" s="1"/>
  <c r="I62" i="15"/>
  <c r="K62" i="15" s="1"/>
  <c r="F62" i="15"/>
  <c r="D62" i="15"/>
  <c r="I73" i="15"/>
  <c r="K73" i="15" s="1"/>
  <c r="G73" i="15"/>
  <c r="D73" i="15"/>
  <c r="B73" i="15"/>
  <c r="M77" i="15"/>
  <c r="Q77" i="15" s="1"/>
  <c r="S77" i="15" s="1"/>
  <c r="J78" i="15"/>
  <c r="M80" i="15"/>
  <c r="Q80" i="15" s="1"/>
  <c r="S80" i="15" s="1"/>
  <c r="F87" i="15"/>
  <c r="I89" i="15"/>
  <c r="K89" i="15" s="1"/>
  <c r="C92" i="15"/>
  <c r="F92" i="15"/>
  <c r="E92" i="15"/>
  <c r="J92" i="15"/>
  <c r="N92" i="15" s="1"/>
  <c r="T92" i="15" s="1"/>
  <c r="V92" i="15" s="1"/>
  <c r="H92" i="15"/>
  <c r="D92" i="15"/>
  <c r="B92" i="15"/>
  <c r="B110" i="15"/>
  <c r="E119" i="15"/>
  <c r="C119" i="15"/>
  <c r="J119" i="15"/>
  <c r="N119" i="15" s="1"/>
  <c r="T119" i="15" s="1"/>
  <c r="F119" i="15"/>
  <c r="B119" i="15"/>
  <c r="H119" i="15"/>
  <c r="M139" i="15"/>
  <c r="Q139" i="15" s="1"/>
  <c r="S139" i="15" s="1"/>
  <c r="E139" i="15"/>
  <c r="I139" i="15"/>
  <c r="K139" i="15" s="1"/>
  <c r="J139" i="15"/>
  <c r="H139" i="15"/>
  <c r="G139" i="15"/>
  <c r="D139" i="15"/>
  <c r="J155" i="15"/>
  <c r="N155" i="15" s="1"/>
  <c r="T155" i="15" s="1"/>
  <c r="G131" i="15"/>
  <c r="E131" i="15"/>
  <c r="M131" i="15"/>
  <c r="Q131" i="15" s="1"/>
  <c r="S131" i="15" s="1"/>
  <c r="I131" i="15"/>
  <c r="K131" i="15" s="1"/>
  <c r="D131" i="15"/>
  <c r="C131" i="15"/>
  <c r="B131" i="15"/>
  <c r="E166" i="15"/>
  <c r="M166" i="15"/>
  <c r="Q166" i="15" s="1"/>
  <c r="S166" i="15" s="1"/>
  <c r="J166" i="15"/>
  <c r="C166" i="15"/>
  <c r="I166" i="15"/>
  <c r="K166" i="15" s="1"/>
  <c r="H166" i="15"/>
  <c r="F166" i="15"/>
  <c r="B166" i="15"/>
  <c r="D166" i="15"/>
  <c r="F85" i="15"/>
  <c r="E126" i="15"/>
  <c r="C126" i="15"/>
  <c r="I126" i="15"/>
  <c r="K126" i="15" s="1"/>
  <c r="F126" i="15"/>
  <c r="D126" i="15"/>
  <c r="H131" i="15"/>
  <c r="M144" i="15"/>
  <c r="Q144" i="15" s="1"/>
  <c r="S144" i="15" s="1"/>
  <c r="E144" i="15"/>
  <c r="C144" i="15"/>
  <c r="H144" i="15"/>
  <c r="D144" i="15"/>
  <c r="J144" i="15"/>
  <c r="N144" i="15" s="1"/>
  <c r="T144" i="15" s="1"/>
  <c r="J146" i="15"/>
  <c r="I148" i="15"/>
  <c r="K148" i="15" s="1"/>
  <c r="G148" i="15"/>
  <c r="E148" i="15"/>
  <c r="J148" i="15"/>
  <c r="H148" i="15"/>
  <c r="D148" i="15"/>
  <c r="G150" i="15"/>
  <c r="H150" i="15"/>
  <c r="E150" i="15"/>
  <c r="J150" i="15"/>
  <c r="B150" i="15"/>
  <c r="M150" i="15"/>
  <c r="Q150" i="15" s="1"/>
  <c r="S150" i="15" s="1"/>
  <c r="I150" i="15"/>
  <c r="K150" i="15" s="1"/>
  <c r="F150" i="15"/>
  <c r="C150" i="15"/>
  <c r="G171" i="15"/>
  <c r="M171" i="15"/>
  <c r="Q171" i="15" s="1"/>
  <c r="S171" i="15" s="1"/>
  <c r="J171" i="15"/>
  <c r="E171" i="15"/>
  <c r="I171" i="15"/>
  <c r="K171" i="15" s="1"/>
  <c r="H171" i="15"/>
  <c r="D171" i="15"/>
  <c r="C171" i="15"/>
  <c r="C93" i="15"/>
  <c r="I93" i="15"/>
  <c r="K93" i="15" s="1"/>
  <c r="I99" i="15"/>
  <c r="K99" i="15" s="1"/>
  <c r="C99" i="15"/>
  <c r="H99" i="15"/>
  <c r="I115" i="15"/>
  <c r="K115" i="15" s="1"/>
  <c r="G126" i="15"/>
  <c r="F144" i="15"/>
  <c r="C148" i="15"/>
  <c r="D150" i="15"/>
  <c r="I167" i="15"/>
  <c r="K167" i="15" s="1"/>
  <c r="B171" i="15"/>
  <c r="E98" i="15"/>
  <c r="C98" i="15"/>
  <c r="D98" i="15"/>
  <c r="B98" i="15"/>
  <c r="P36" i="14" s="1"/>
  <c r="I129" i="15"/>
  <c r="K129" i="15" s="1"/>
  <c r="E138" i="15"/>
  <c r="M138" i="15"/>
  <c r="Q138" i="15" s="1"/>
  <c r="S138" i="15" s="1"/>
  <c r="B138" i="15"/>
  <c r="J138" i="15"/>
  <c r="N138" i="15" s="1"/>
  <c r="T138" i="15" s="1"/>
  <c r="V138" i="15" s="1"/>
  <c r="H138" i="15"/>
  <c r="I59" i="15"/>
  <c r="K59" i="15" s="1"/>
  <c r="G61" i="15"/>
  <c r="M76" i="15"/>
  <c r="Q76" i="15" s="1"/>
  <c r="S76" i="15" s="1"/>
  <c r="E93" i="15"/>
  <c r="I94" i="15"/>
  <c r="K94" i="15" s="1"/>
  <c r="G98" i="15"/>
  <c r="E99" i="15"/>
  <c r="C138" i="15"/>
  <c r="E112" i="15"/>
  <c r="C112" i="15"/>
  <c r="I112" i="15"/>
  <c r="K112" i="15" s="1"/>
  <c r="H112" i="15"/>
  <c r="D112" i="15"/>
  <c r="M126" i="15"/>
  <c r="Q126" i="15" s="1"/>
  <c r="S126" i="15" s="1"/>
  <c r="J134" i="15"/>
  <c r="D138" i="15"/>
  <c r="I98" i="15"/>
  <c r="K98" i="15" s="1"/>
  <c r="G99" i="15"/>
  <c r="G103" i="15"/>
  <c r="E103" i="15"/>
  <c r="M103" i="15"/>
  <c r="Q103" i="15" s="1"/>
  <c r="S103" i="15" s="1"/>
  <c r="F103" i="15"/>
  <c r="M104" i="15"/>
  <c r="Q104" i="15" s="1"/>
  <c r="S104" i="15" s="1"/>
  <c r="E104" i="15"/>
  <c r="J104" i="15"/>
  <c r="I104" i="15"/>
  <c r="K104" i="15" s="1"/>
  <c r="B104" i="15"/>
  <c r="E105" i="15"/>
  <c r="C105" i="15"/>
  <c r="F105" i="15"/>
  <c r="M111" i="15"/>
  <c r="Q111" i="15" s="1"/>
  <c r="S111" i="15" s="1"/>
  <c r="E111" i="15"/>
  <c r="H111" i="15"/>
  <c r="D111" i="15"/>
  <c r="B112" i="15"/>
  <c r="L120" i="15"/>
  <c r="F138" i="15"/>
  <c r="E145" i="15"/>
  <c r="M145" i="15"/>
  <c r="Q145" i="15" s="1"/>
  <c r="S145" i="15" s="1"/>
  <c r="D145" i="15"/>
  <c r="F145" i="15"/>
  <c r="B145" i="15"/>
  <c r="I145" i="15"/>
  <c r="K145" i="15" s="1"/>
  <c r="I147" i="15"/>
  <c r="K147" i="15" s="1"/>
  <c r="E187" i="15"/>
  <c r="J187" i="15"/>
  <c r="I187" i="15"/>
  <c r="K187" i="15" s="1"/>
  <c r="M187" i="15"/>
  <c r="Q187" i="15" s="1"/>
  <c r="S187" i="15" s="1"/>
  <c r="H187" i="15"/>
  <c r="D187" i="15"/>
  <c r="G187" i="15"/>
  <c r="F187" i="15"/>
  <c r="B187" i="15"/>
  <c r="C187" i="15"/>
  <c r="I108" i="15"/>
  <c r="K108" i="15" s="1"/>
  <c r="G124" i="15"/>
  <c r="E124" i="15"/>
  <c r="M124" i="15"/>
  <c r="Q124" i="15" s="1"/>
  <c r="S124" i="15" s="1"/>
  <c r="I124" i="15"/>
  <c r="K124" i="15" s="1"/>
  <c r="F134" i="15"/>
  <c r="E140" i="15"/>
  <c r="C140" i="15"/>
  <c r="F140" i="15"/>
  <c r="H146" i="15"/>
  <c r="G147" i="15"/>
  <c r="E152" i="15"/>
  <c r="I152" i="15"/>
  <c r="K152" i="15" s="1"/>
  <c r="B152" i="15"/>
  <c r="I120" i="15"/>
  <c r="K120" i="15" s="1"/>
  <c r="C120" i="15"/>
  <c r="M125" i="15"/>
  <c r="Q125" i="15" s="1"/>
  <c r="S125" i="15" s="1"/>
  <c r="E125" i="15"/>
  <c r="D125" i="15"/>
  <c r="H134" i="15"/>
  <c r="I136" i="15"/>
  <c r="K136" i="15" s="1"/>
  <c r="D140" i="15"/>
  <c r="C182" i="15"/>
  <c r="E182" i="15"/>
  <c r="F182" i="15"/>
  <c r="M182" i="15"/>
  <c r="Q182" i="15" s="1"/>
  <c r="S182" i="15" s="1"/>
  <c r="J182" i="15"/>
  <c r="D182" i="15"/>
  <c r="B120" i="15"/>
  <c r="B125" i="15"/>
  <c r="G140" i="15"/>
  <c r="M159" i="15"/>
  <c r="Q159" i="15" s="1"/>
  <c r="S159" i="15" s="1"/>
  <c r="M165" i="15"/>
  <c r="Q165" i="15" s="1"/>
  <c r="S165" i="15" s="1"/>
  <c r="G165" i="15"/>
  <c r="E165" i="15"/>
  <c r="B165" i="15"/>
  <c r="D165" i="15"/>
  <c r="E180" i="15"/>
  <c r="C180" i="15"/>
  <c r="M180" i="15"/>
  <c r="Q180" i="15" s="1"/>
  <c r="S180" i="15" s="1"/>
  <c r="B180" i="15"/>
  <c r="J180" i="15"/>
  <c r="I180" i="15"/>
  <c r="K180" i="15" s="1"/>
  <c r="H180" i="15"/>
  <c r="G180" i="15"/>
  <c r="F180" i="15"/>
  <c r="B182" i="15"/>
  <c r="C196" i="15"/>
  <c r="F196" i="15"/>
  <c r="H196" i="15"/>
  <c r="G196" i="15"/>
  <c r="B196" i="15"/>
  <c r="M196" i="15"/>
  <c r="Q196" i="15" s="1"/>
  <c r="S196" i="15" s="1"/>
  <c r="J196" i="15"/>
  <c r="I196" i="15"/>
  <c r="K196" i="15" s="1"/>
  <c r="E196" i="15"/>
  <c r="D196" i="15"/>
  <c r="J157" i="15"/>
  <c r="C165" i="15"/>
  <c r="I169" i="15"/>
  <c r="K169" i="15" s="1"/>
  <c r="F169" i="15"/>
  <c r="J169" i="15"/>
  <c r="E169" i="15"/>
  <c r="B169" i="15"/>
  <c r="M169" i="15"/>
  <c r="Q169" i="15" s="1"/>
  <c r="S169" i="15" s="1"/>
  <c r="H169" i="15"/>
  <c r="D180" i="15"/>
  <c r="G182" i="15"/>
  <c r="I197" i="15"/>
  <c r="K197" i="15" s="1"/>
  <c r="G197" i="15"/>
  <c r="H197" i="15"/>
  <c r="C197" i="15"/>
  <c r="B197" i="15"/>
  <c r="D197" i="15"/>
  <c r="M197" i="15"/>
  <c r="Q197" i="15" s="1"/>
  <c r="S197" i="15" s="1"/>
  <c r="F197" i="15"/>
  <c r="G199" i="15"/>
  <c r="H199" i="15"/>
  <c r="J199" i="15"/>
  <c r="B199" i="15"/>
  <c r="M199" i="15"/>
  <c r="Q199" i="15" s="1"/>
  <c r="S199" i="15" s="1"/>
  <c r="I199" i="15"/>
  <c r="K199" i="15" s="1"/>
  <c r="F199" i="15"/>
  <c r="E199" i="15"/>
  <c r="C199" i="15"/>
  <c r="I106" i="15"/>
  <c r="K106" i="15" s="1"/>
  <c r="C106" i="15"/>
  <c r="G117" i="15"/>
  <c r="E117" i="15"/>
  <c r="M117" i="15"/>
  <c r="Q117" i="15" s="1"/>
  <c r="S117" i="15" s="1"/>
  <c r="F120" i="15"/>
  <c r="J124" i="15"/>
  <c r="G125" i="15"/>
  <c r="I127" i="15"/>
  <c r="K127" i="15" s="1"/>
  <c r="C127" i="15"/>
  <c r="M132" i="15"/>
  <c r="Q132" i="15" s="1"/>
  <c r="S132" i="15" s="1"/>
  <c r="E132" i="15"/>
  <c r="G132" i="15"/>
  <c r="J140" i="15"/>
  <c r="G164" i="15"/>
  <c r="I164" i="15"/>
  <c r="K164" i="15" s="1"/>
  <c r="E164" i="15"/>
  <c r="M164" i="15"/>
  <c r="Q164" i="15" s="1"/>
  <c r="S164" i="15" s="1"/>
  <c r="D164" i="15"/>
  <c r="H165" i="15"/>
  <c r="E197" i="15"/>
  <c r="D199" i="15"/>
  <c r="M90" i="15"/>
  <c r="Q90" i="15" s="1"/>
  <c r="S90" i="15" s="1"/>
  <c r="E90" i="15"/>
  <c r="B106" i="15"/>
  <c r="B117" i="15"/>
  <c r="G120" i="15"/>
  <c r="H125" i="15"/>
  <c r="B127" i="15"/>
  <c r="B132" i="15"/>
  <c r="G143" i="15"/>
  <c r="L143" i="15" s="1"/>
  <c r="J143" i="15"/>
  <c r="C143" i="15"/>
  <c r="B164" i="15"/>
  <c r="I165" i="15"/>
  <c r="K165" i="15" s="1"/>
  <c r="I183" i="15"/>
  <c r="K183" i="15" s="1"/>
  <c r="M183" i="15"/>
  <c r="Q183" i="15" s="1"/>
  <c r="S183" i="15" s="1"/>
  <c r="H183" i="15"/>
  <c r="G183" i="15"/>
  <c r="E183" i="15"/>
  <c r="B183" i="15"/>
  <c r="J183" i="15"/>
  <c r="E194" i="15"/>
  <c r="M194" i="15"/>
  <c r="Q194" i="15" s="1"/>
  <c r="S194" i="15" s="1"/>
  <c r="D194" i="15"/>
  <c r="C194" i="15"/>
  <c r="B194" i="15"/>
  <c r="J194" i="15"/>
  <c r="I194" i="15"/>
  <c r="K194" i="15" s="1"/>
  <c r="G194" i="15"/>
  <c r="J197" i="15"/>
  <c r="N197" i="15" s="1"/>
  <c r="T197" i="15" s="1"/>
  <c r="V197" i="15" s="1"/>
  <c r="I134" i="15"/>
  <c r="K134" i="15" s="1"/>
  <c r="C134" i="15"/>
  <c r="F146" i="15"/>
  <c r="D146" i="15"/>
  <c r="M146" i="15"/>
  <c r="Q146" i="15" s="1"/>
  <c r="S146" i="15" s="1"/>
  <c r="B146" i="15"/>
  <c r="C147" i="15"/>
  <c r="F147" i="15"/>
  <c r="H167" i="15"/>
  <c r="F167" i="15"/>
  <c r="C167" i="15"/>
  <c r="M167" i="15"/>
  <c r="Q167" i="15" s="1"/>
  <c r="S167" i="15" s="1"/>
  <c r="J167" i="15"/>
  <c r="N167" i="15" s="1"/>
  <c r="T167" i="15" s="1"/>
  <c r="V167" i="15" s="1"/>
  <c r="B167" i="15"/>
  <c r="I211" i="15"/>
  <c r="K211" i="15" s="1"/>
  <c r="F211" i="15"/>
  <c r="E211" i="15"/>
  <c r="C211" i="15"/>
  <c r="B211" i="15"/>
  <c r="M211" i="15"/>
  <c r="Q211" i="15" s="1"/>
  <c r="S211" i="15" s="1"/>
  <c r="H211" i="15"/>
  <c r="G211" i="15"/>
  <c r="J211" i="15"/>
  <c r="D211" i="15"/>
  <c r="H168" i="15"/>
  <c r="G181" i="15"/>
  <c r="F181" i="15"/>
  <c r="M181" i="15"/>
  <c r="Q181" i="15" s="1"/>
  <c r="S181" i="15" s="1"/>
  <c r="H181" i="15"/>
  <c r="M209" i="15"/>
  <c r="Q209" i="15" s="1"/>
  <c r="S209" i="15" s="1"/>
  <c r="E209" i="15"/>
  <c r="D209" i="15"/>
  <c r="I209" i="15"/>
  <c r="K209" i="15" s="1"/>
  <c r="H209" i="15"/>
  <c r="C209" i="15"/>
  <c r="B209" i="15"/>
  <c r="J209" i="15"/>
  <c r="F209" i="15"/>
  <c r="I204" i="15"/>
  <c r="K204" i="15" s="1"/>
  <c r="C204" i="15"/>
  <c r="J204" i="15"/>
  <c r="N204" i="15" s="1"/>
  <c r="T204" i="15" s="1"/>
  <c r="V204" i="15" s="1"/>
  <c r="H204" i="15"/>
  <c r="G204" i="15"/>
  <c r="D204" i="15"/>
  <c r="B204" i="15"/>
  <c r="M204" i="15"/>
  <c r="Q204" i="15" s="1"/>
  <c r="S204" i="15" s="1"/>
  <c r="E215" i="15"/>
  <c r="H215" i="15"/>
  <c r="G215" i="15"/>
  <c r="J215" i="15"/>
  <c r="D215" i="15"/>
  <c r="C215" i="15"/>
  <c r="F215" i="15"/>
  <c r="B215" i="15"/>
  <c r="I122" i="15"/>
  <c r="K122" i="15" s="1"/>
  <c r="G137" i="15"/>
  <c r="L137" i="15" s="1"/>
  <c r="I141" i="15"/>
  <c r="K141" i="15" s="1"/>
  <c r="J141" i="15"/>
  <c r="C141" i="15"/>
  <c r="M158" i="15"/>
  <c r="Q158" i="15" s="1"/>
  <c r="S158" i="15" s="1"/>
  <c r="I158" i="15"/>
  <c r="K158" i="15" s="1"/>
  <c r="F158" i="15"/>
  <c r="C158" i="15"/>
  <c r="I181" i="15"/>
  <c r="K181" i="15" s="1"/>
  <c r="F204" i="15"/>
  <c r="M215" i="15"/>
  <c r="Q215" i="15" s="1"/>
  <c r="S215" i="15" s="1"/>
  <c r="E159" i="15"/>
  <c r="D159" i="15"/>
  <c r="B159" i="15"/>
  <c r="M160" i="15"/>
  <c r="Q160" i="15" s="1"/>
  <c r="S160" i="15" s="1"/>
  <c r="J160" i="15"/>
  <c r="N160" i="15" s="1"/>
  <c r="T160" i="15" s="1"/>
  <c r="V160" i="15" s="1"/>
  <c r="G160" i="15"/>
  <c r="D160" i="15"/>
  <c r="H176" i="15"/>
  <c r="M179" i="15"/>
  <c r="Q179" i="15" s="1"/>
  <c r="S179" i="15" s="1"/>
  <c r="J179" i="15"/>
  <c r="F179" i="15"/>
  <c r="E179" i="15"/>
  <c r="D179" i="15"/>
  <c r="B179" i="15"/>
  <c r="J181" i="15"/>
  <c r="I190" i="15"/>
  <c r="K190" i="15" s="1"/>
  <c r="H190" i="15"/>
  <c r="D190" i="15"/>
  <c r="C190" i="15"/>
  <c r="G190" i="15"/>
  <c r="E190" i="15"/>
  <c r="B190" i="15"/>
  <c r="C161" i="15"/>
  <c r="F161" i="15"/>
  <c r="D161" i="15"/>
  <c r="I162" i="15"/>
  <c r="K162" i="15" s="1"/>
  <c r="H162" i="15"/>
  <c r="E162" i="15"/>
  <c r="E208" i="15"/>
  <c r="D208" i="15"/>
  <c r="M208" i="15"/>
  <c r="Q208" i="15" s="1"/>
  <c r="S208" i="15" s="1"/>
  <c r="J208" i="15"/>
  <c r="G208" i="15"/>
  <c r="F208" i="15"/>
  <c r="I208" i="15"/>
  <c r="K208" i="15" s="1"/>
  <c r="C208" i="15"/>
  <c r="B208" i="15"/>
  <c r="H208" i="15"/>
  <c r="H229" i="15"/>
  <c r="D229" i="15"/>
  <c r="G229" i="15"/>
  <c r="F229" i="15"/>
  <c r="B229" i="15"/>
  <c r="M229" i="15"/>
  <c r="Q229" i="15" s="1"/>
  <c r="S229" i="15" s="1"/>
  <c r="J229" i="15"/>
  <c r="I229" i="15"/>
  <c r="K229" i="15" s="1"/>
  <c r="C229" i="15"/>
  <c r="E229" i="15"/>
  <c r="B237" i="15"/>
  <c r="C237" i="15"/>
  <c r="H237" i="15"/>
  <c r="I237" i="15"/>
  <c r="K237" i="15" s="1"/>
  <c r="G237" i="15"/>
  <c r="M237" i="15"/>
  <c r="Q237" i="15" s="1"/>
  <c r="S237" i="15" s="1"/>
  <c r="J237" i="15"/>
  <c r="E237" i="15"/>
  <c r="D237" i="15"/>
  <c r="F237" i="15"/>
  <c r="J227" i="15"/>
  <c r="C227" i="15"/>
  <c r="G227" i="15"/>
  <c r="B227" i="15"/>
  <c r="O239" i="15"/>
  <c r="L239" i="15"/>
  <c r="D233" i="15"/>
  <c r="G233" i="15"/>
  <c r="B233" i="15"/>
  <c r="M233" i="15"/>
  <c r="Q233" i="15" s="1"/>
  <c r="S233" i="15" s="1"/>
  <c r="F233" i="15"/>
  <c r="E233" i="15"/>
  <c r="C233" i="15"/>
  <c r="I233" i="15"/>
  <c r="K233" i="15" s="1"/>
  <c r="I100" i="15"/>
  <c r="K100" i="15" s="1"/>
  <c r="I107" i="15"/>
  <c r="K107" i="15" s="1"/>
  <c r="I114" i="15"/>
  <c r="K114" i="15" s="1"/>
  <c r="I121" i="15"/>
  <c r="K121" i="15" s="1"/>
  <c r="I128" i="15"/>
  <c r="K128" i="15" s="1"/>
  <c r="I135" i="15"/>
  <c r="K135" i="15" s="1"/>
  <c r="M172" i="15"/>
  <c r="Q172" i="15" s="1"/>
  <c r="S172" i="15" s="1"/>
  <c r="G188" i="15"/>
  <c r="C188" i="15"/>
  <c r="B188" i="15"/>
  <c r="H227" i="15"/>
  <c r="H233" i="15"/>
  <c r="C189" i="15"/>
  <c r="J189" i="15"/>
  <c r="F224" i="15"/>
  <c r="I224" i="15"/>
  <c r="K224" i="15" s="1"/>
  <c r="D224" i="15"/>
  <c r="B224" i="15"/>
  <c r="C224" i="15"/>
  <c r="I227" i="15"/>
  <c r="K227" i="15" s="1"/>
  <c r="J233" i="15"/>
  <c r="M227" i="15"/>
  <c r="Q227" i="15" s="1"/>
  <c r="S227" i="15" s="1"/>
  <c r="C175" i="15"/>
  <c r="I175" i="15"/>
  <c r="K175" i="15" s="1"/>
  <c r="G178" i="15"/>
  <c r="B178" i="15"/>
  <c r="M178" i="15"/>
  <c r="Q178" i="15" s="1"/>
  <c r="S178" i="15" s="1"/>
  <c r="D189" i="15"/>
  <c r="M228" i="15"/>
  <c r="Q228" i="15" s="1"/>
  <c r="S228" i="15" s="1"/>
  <c r="H230" i="15"/>
  <c r="C230" i="15"/>
  <c r="B230" i="15"/>
  <c r="D230" i="15"/>
  <c r="M230" i="15"/>
  <c r="Q230" i="15" s="1"/>
  <c r="S230" i="15" s="1"/>
  <c r="M214" i="15"/>
  <c r="Q214" i="15" s="1"/>
  <c r="S214" i="15" s="1"/>
  <c r="G214" i="15"/>
  <c r="H214" i="15"/>
  <c r="F214" i="15"/>
  <c r="E230" i="15"/>
  <c r="J232" i="15"/>
  <c r="I155" i="15"/>
  <c r="K155" i="15" s="1"/>
  <c r="G157" i="15"/>
  <c r="G172" i="15"/>
  <c r="E173" i="15"/>
  <c r="H173" i="15"/>
  <c r="E175" i="15"/>
  <c r="E178" i="15"/>
  <c r="G185" i="15"/>
  <c r="M185" i="15"/>
  <c r="Q185" i="15" s="1"/>
  <c r="S185" i="15" s="1"/>
  <c r="I185" i="15"/>
  <c r="K185" i="15" s="1"/>
  <c r="H185" i="15"/>
  <c r="G189" i="15"/>
  <c r="F195" i="15"/>
  <c r="M195" i="15"/>
  <c r="Q195" i="15" s="1"/>
  <c r="S195" i="15" s="1"/>
  <c r="J195" i="15"/>
  <c r="N195" i="15" s="1"/>
  <c r="T195" i="15" s="1"/>
  <c r="V195" i="15" s="1"/>
  <c r="M207" i="15"/>
  <c r="Q207" i="15" s="1"/>
  <c r="S207" i="15" s="1"/>
  <c r="D207" i="15"/>
  <c r="C207" i="15"/>
  <c r="I207" i="15"/>
  <c r="K207" i="15" s="1"/>
  <c r="H207" i="15"/>
  <c r="B214" i="15"/>
  <c r="F230" i="15"/>
  <c r="M151" i="15"/>
  <c r="Q151" i="15" s="1"/>
  <c r="S151" i="15" s="1"/>
  <c r="C155" i="15"/>
  <c r="C157" i="15"/>
  <c r="C168" i="15"/>
  <c r="M168" i="15"/>
  <c r="Q168" i="15" s="1"/>
  <c r="S168" i="15" s="1"/>
  <c r="I172" i="15"/>
  <c r="K172" i="15" s="1"/>
  <c r="C173" i="15"/>
  <c r="G175" i="15"/>
  <c r="I176" i="15"/>
  <c r="K176" i="15" s="1"/>
  <c r="B176" i="15"/>
  <c r="H178" i="15"/>
  <c r="C185" i="15"/>
  <c r="I189" i="15"/>
  <c r="K189" i="15" s="1"/>
  <c r="G192" i="15"/>
  <c r="C192" i="15"/>
  <c r="M192" i="15"/>
  <c r="Q192" i="15" s="1"/>
  <c r="S192" i="15" s="1"/>
  <c r="H192" i="15"/>
  <c r="L192" i="15" s="1"/>
  <c r="F192" i="15"/>
  <c r="M193" i="15"/>
  <c r="Q193" i="15" s="1"/>
  <c r="S193" i="15" s="1"/>
  <c r="E193" i="15"/>
  <c r="H193" i="15"/>
  <c r="C193" i="15"/>
  <c r="B193" i="15"/>
  <c r="C195" i="15"/>
  <c r="G206" i="15"/>
  <c r="C206" i="15"/>
  <c r="J206" i="15"/>
  <c r="N206" i="15" s="1"/>
  <c r="T206" i="15" s="1"/>
  <c r="V206" i="15" s="1"/>
  <c r="M206" i="15"/>
  <c r="Q206" i="15" s="1"/>
  <c r="S206" i="15" s="1"/>
  <c r="E207" i="15"/>
  <c r="G213" i="15"/>
  <c r="F213" i="15"/>
  <c r="E213" i="15"/>
  <c r="J213" i="15"/>
  <c r="D214" i="15"/>
  <c r="I230" i="15"/>
  <c r="K230" i="15" s="1"/>
  <c r="H238" i="15"/>
  <c r="F238" i="15"/>
  <c r="B238" i="15"/>
  <c r="I238" i="15"/>
  <c r="K238" i="15" s="1"/>
  <c r="E238" i="15"/>
  <c r="D238" i="15"/>
  <c r="J272" i="15"/>
  <c r="M272" i="15"/>
  <c r="Q272" i="15" s="1"/>
  <c r="S272" i="15" s="1"/>
  <c r="I272" i="15"/>
  <c r="K272" i="15" s="1"/>
  <c r="H272" i="15"/>
  <c r="G272" i="15"/>
  <c r="F272" i="15"/>
  <c r="E272" i="15"/>
  <c r="D272" i="15"/>
  <c r="C272" i="15"/>
  <c r="B272" i="15"/>
  <c r="H260" i="15"/>
  <c r="D260" i="15"/>
  <c r="C260" i="15"/>
  <c r="M260" i="15"/>
  <c r="Q260" i="15" s="1"/>
  <c r="S260" i="15" s="1"/>
  <c r="F260" i="15"/>
  <c r="E260" i="15"/>
  <c r="J260" i="15"/>
  <c r="M186" i="15"/>
  <c r="Q186" i="15" s="1"/>
  <c r="S186" i="15" s="1"/>
  <c r="H216" i="15"/>
  <c r="M241" i="15"/>
  <c r="Q241" i="15" s="1"/>
  <c r="S241" i="15" s="1"/>
  <c r="H241" i="15"/>
  <c r="G241" i="15"/>
  <c r="E241" i="15"/>
  <c r="J241" i="15"/>
  <c r="I241" i="15"/>
  <c r="K241" i="15" s="1"/>
  <c r="B241" i="15"/>
  <c r="B260" i="15"/>
  <c r="B186" i="15"/>
  <c r="E201" i="15"/>
  <c r="I201" i="15"/>
  <c r="K201" i="15" s="1"/>
  <c r="C210" i="15"/>
  <c r="F210" i="15"/>
  <c r="M210" i="15"/>
  <c r="Q210" i="15" s="1"/>
  <c r="S210" i="15" s="1"/>
  <c r="M238" i="15"/>
  <c r="Q238" i="15" s="1"/>
  <c r="S238" i="15" s="1"/>
  <c r="C241" i="15"/>
  <c r="C244" i="15"/>
  <c r="B244" i="15"/>
  <c r="H244" i="15"/>
  <c r="G244" i="15"/>
  <c r="I244" i="15"/>
  <c r="K244" i="15" s="1"/>
  <c r="F244" i="15"/>
  <c r="G260" i="15"/>
  <c r="F241" i="15"/>
  <c r="E244" i="15"/>
  <c r="B221" i="15"/>
  <c r="D221" i="15"/>
  <c r="L221" i="15" s="1"/>
  <c r="J221" i="15"/>
  <c r="N221" i="15" s="1"/>
  <c r="T221" i="15" s="1"/>
  <c r="V221" i="15" s="1"/>
  <c r="J244" i="15"/>
  <c r="G247" i="15"/>
  <c r="F247" i="15"/>
  <c r="E247" i="15"/>
  <c r="D247" i="15"/>
  <c r="C247" i="15"/>
  <c r="B247" i="15"/>
  <c r="J247" i="15"/>
  <c r="I247" i="15"/>
  <c r="K247" i="15" s="1"/>
  <c r="H247" i="15"/>
  <c r="F186" i="15"/>
  <c r="F201" i="15"/>
  <c r="B202" i="15"/>
  <c r="H202" i="15"/>
  <c r="G210" i="15"/>
  <c r="C221" i="15"/>
  <c r="H222" i="15"/>
  <c r="G222" i="15"/>
  <c r="E222" i="15"/>
  <c r="D222" i="15"/>
  <c r="B235" i="15"/>
  <c r="H235" i="15"/>
  <c r="D235" i="15"/>
  <c r="F235" i="15"/>
  <c r="E235" i="15"/>
  <c r="L235" i="15" s="1"/>
  <c r="M235" i="15"/>
  <c r="Q235" i="15" s="1"/>
  <c r="S235" i="15" s="1"/>
  <c r="G240" i="15"/>
  <c r="F240" i="15"/>
  <c r="O240" i="15" s="1"/>
  <c r="P240" i="15" s="1"/>
  <c r="M240" i="15"/>
  <c r="Q240" i="15" s="1"/>
  <c r="S240" i="15" s="1"/>
  <c r="I240" i="15"/>
  <c r="K240" i="15" s="1"/>
  <c r="J240" i="15"/>
  <c r="H240" i="15"/>
  <c r="B240" i="15"/>
  <c r="B225" i="15"/>
  <c r="M225" i="15"/>
  <c r="Q225" i="15" s="1"/>
  <c r="S225" i="15" s="1"/>
  <c r="G225" i="15"/>
  <c r="F225" i="15"/>
  <c r="E249" i="15"/>
  <c r="D249" i="15"/>
  <c r="J249" i="15"/>
  <c r="C249" i="15"/>
  <c r="G249" i="15"/>
  <c r="M249" i="15"/>
  <c r="Q249" i="15" s="1"/>
  <c r="S249" i="15" s="1"/>
  <c r="I249" i="15"/>
  <c r="K249" i="15" s="1"/>
  <c r="B249" i="15"/>
  <c r="M244" i="15"/>
  <c r="Q244" i="15" s="1"/>
  <c r="S244" i="15" s="1"/>
  <c r="F249" i="15"/>
  <c r="M251" i="15"/>
  <c r="Q251" i="15" s="1"/>
  <c r="S251" i="15" s="1"/>
  <c r="D225" i="15"/>
  <c r="B228" i="15"/>
  <c r="G228" i="15"/>
  <c r="C228" i="15"/>
  <c r="J228" i="15"/>
  <c r="H249" i="15"/>
  <c r="I218" i="15"/>
  <c r="K218" i="15" s="1"/>
  <c r="G220" i="15"/>
  <c r="D226" i="15"/>
  <c r="J226" i="15"/>
  <c r="F226" i="15"/>
  <c r="H232" i="15"/>
  <c r="J234" i="15"/>
  <c r="O269" i="15"/>
  <c r="B259" i="15"/>
  <c r="J259" i="15"/>
  <c r="I259" i="15"/>
  <c r="K259" i="15" s="1"/>
  <c r="H259" i="15"/>
  <c r="M259" i="15"/>
  <c r="Q259" i="15" s="1"/>
  <c r="S259" i="15" s="1"/>
  <c r="G259" i="15"/>
  <c r="F259" i="15"/>
  <c r="O259" i="15" s="1"/>
  <c r="H261" i="15"/>
  <c r="J243" i="15"/>
  <c r="N243" i="15" s="1"/>
  <c r="T243" i="15" s="1"/>
  <c r="M243" i="15"/>
  <c r="Q243" i="15" s="1"/>
  <c r="S243" i="15" s="1"/>
  <c r="D243" i="15"/>
  <c r="H253" i="15"/>
  <c r="G253" i="15"/>
  <c r="F253" i="15"/>
  <c r="C253" i="15"/>
  <c r="E253" i="15"/>
  <c r="L261" i="15"/>
  <c r="D268" i="15"/>
  <c r="C268" i="15"/>
  <c r="E268" i="15"/>
  <c r="M268" i="15"/>
  <c r="Q268" i="15" s="1"/>
  <c r="S268" i="15" s="1"/>
  <c r="J268" i="15"/>
  <c r="I268" i="15"/>
  <c r="K268" i="15" s="1"/>
  <c r="B268" i="15"/>
  <c r="I232" i="15"/>
  <c r="K232" i="15" s="1"/>
  <c r="J236" i="15"/>
  <c r="I236" i="15"/>
  <c r="K236" i="15" s="1"/>
  <c r="B236" i="15"/>
  <c r="F243" i="15"/>
  <c r="L246" i="15"/>
  <c r="B253" i="15"/>
  <c r="F268" i="15"/>
  <c r="M200" i="15"/>
  <c r="Q200" i="15" s="1"/>
  <c r="S200" i="15" s="1"/>
  <c r="J218" i="15"/>
  <c r="J220" i="15"/>
  <c r="N220" i="15" s="1"/>
  <c r="T220" i="15" s="1"/>
  <c r="V220" i="15" s="1"/>
  <c r="B232" i="15"/>
  <c r="I234" i="15"/>
  <c r="K234" i="15" s="1"/>
  <c r="C236" i="15"/>
  <c r="G243" i="15"/>
  <c r="D253" i="15"/>
  <c r="F266" i="15"/>
  <c r="E266" i="15"/>
  <c r="G266" i="15"/>
  <c r="D266" i="15"/>
  <c r="C266" i="15"/>
  <c r="M266" i="15"/>
  <c r="Q266" i="15" s="1"/>
  <c r="S266" i="15" s="1"/>
  <c r="H266" i="15"/>
  <c r="D292" i="15"/>
  <c r="J292" i="15"/>
  <c r="M292" i="15"/>
  <c r="Q292" i="15" s="1"/>
  <c r="S292" i="15" s="1"/>
  <c r="F292" i="15"/>
  <c r="I292" i="15"/>
  <c r="K292" i="15" s="1"/>
  <c r="G292" i="15"/>
  <c r="H292" i="15"/>
  <c r="E292" i="15"/>
  <c r="C292" i="15"/>
  <c r="B292" i="15"/>
  <c r="F290" i="15"/>
  <c r="I290" i="15"/>
  <c r="K290" i="15" s="1"/>
  <c r="J290" i="15"/>
  <c r="G290" i="15"/>
  <c r="D290" i="15"/>
  <c r="C290" i="15"/>
  <c r="B290" i="15"/>
  <c r="O278" i="15"/>
  <c r="H290" i="15"/>
  <c r="O246" i="15"/>
  <c r="O263" i="15"/>
  <c r="H281" i="15"/>
  <c r="M281" i="15"/>
  <c r="Q281" i="15" s="1"/>
  <c r="S281" i="15" s="1"/>
  <c r="E281" i="15"/>
  <c r="J281" i="15"/>
  <c r="I281" i="15"/>
  <c r="K281" i="15" s="1"/>
  <c r="G281" i="15"/>
  <c r="F281" i="15"/>
  <c r="F231" i="15"/>
  <c r="D250" i="15"/>
  <c r="M250" i="15"/>
  <c r="Q250" i="15" s="1"/>
  <c r="S250" i="15" s="1"/>
  <c r="G250" i="15"/>
  <c r="F250" i="15"/>
  <c r="O250" i="15" s="1"/>
  <c r="B252" i="15"/>
  <c r="M252" i="15"/>
  <c r="Q252" i="15" s="1"/>
  <c r="S252" i="15" s="1"/>
  <c r="H252" i="15"/>
  <c r="B281" i="15"/>
  <c r="C281" i="15"/>
  <c r="J262" i="15"/>
  <c r="G262" i="15"/>
  <c r="F262" i="15"/>
  <c r="E262" i="15"/>
  <c r="D262" i="15"/>
  <c r="C262" i="15"/>
  <c r="B262" i="15"/>
  <c r="J279" i="15"/>
  <c r="I279" i="15"/>
  <c r="K279" i="15" s="1"/>
  <c r="G279" i="15"/>
  <c r="M279" i="15"/>
  <c r="Q279" i="15" s="1"/>
  <c r="S279" i="15" s="1"/>
  <c r="D279" i="15"/>
  <c r="C279" i="15"/>
  <c r="B279" i="15"/>
  <c r="D281" i="15"/>
  <c r="H262" i="15"/>
  <c r="E279" i="15"/>
  <c r="D313" i="15"/>
  <c r="J313" i="15"/>
  <c r="E313" i="15"/>
  <c r="C313" i="15"/>
  <c r="B313" i="15"/>
  <c r="I313" i="15"/>
  <c r="K313" i="15" s="1"/>
  <c r="H313" i="15"/>
  <c r="G313" i="15"/>
  <c r="M313" i="15"/>
  <c r="Q313" i="15" s="1"/>
  <c r="S313" i="15" s="1"/>
  <c r="F313" i="15"/>
  <c r="E231" i="15"/>
  <c r="I262" i="15"/>
  <c r="K262" i="15" s="1"/>
  <c r="H271" i="15"/>
  <c r="G271" i="15"/>
  <c r="B271" i="15"/>
  <c r="M271" i="15"/>
  <c r="Q271" i="15" s="1"/>
  <c r="S271" i="15" s="1"/>
  <c r="J271" i="15"/>
  <c r="I271" i="15"/>
  <c r="K271" i="15" s="1"/>
  <c r="F271" i="15"/>
  <c r="O271" i="15" s="1"/>
  <c r="B273" i="15"/>
  <c r="H273" i="15"/>
  <c r="L273" i="15" s="1"/>
  <c r="G273" i="15"/>
  <c r="J273" i="15"/>
  <c r="N273" i="15" s="1"/>
  <c r="T273" i="15" s="1"/>
  <c r="I273" i="15"/>
  <c r="K273" i="15" s="1"/>
  <c r="M273" i="15"/>
  <c r="Q273" i="15" s="1"/>
  <c r="S273" i="15" s="1"/>
  <c r="F273" i="15"/>
  <c r="J277" i="15"/>
  <c r="I277" i="15"/>
  <c r="K277" i="15" s="1"/>
  <c r="E277" i="15"/>
  <c r="M277" i="15"/>
  <c r="Q277" i="15" s="1"/>
  <c r="S277" i="15" s="1"/>
  <c r="H277" i="15"/>
  <c r="G277" i="15"/>
  <c r="F279" i="15"/>
  <c r="E284" i="15"/>
  <c r="M284" i="15"/>
  <c r="Q284" i="15" s="1"/>
  <c r="S284" i="15" s="1"/>
  <c r="I284" i="15"/>
  <c r="K284" i="15" s="1"/>
  <c r="B284" i="15"/>
  <c r="J284" i="15"/>
  <c r="G284" i="15"/>
  <c r="F284" i="15"/>
  <c r="D284" i="15"/>
  <c r="C284" i="15"/>
  <c r="D257" i="15"/>
  <c r="J257" i="15"/>
  <c r="I257" i="15"/>
  <c r="K257" i="15" s="1"/>
  <c r="F303" i="15"/>
  <c r="I303" i="15"/>
  <c r="K303" i="15" s="1"/>
  <c r="M303" i="15"/>
  <c r="Q303" i="15" s="1"/>
  <c r="S303" i="15" s="1"/>
  <c r="G303" i="15"/>
  <c r="J303" i="15"/>
  <c r="H303" i="15"/>
  <c r="D303" i="15"/>
  <c r="B280" i="15"/>
  <c r="C280" i="15"/>
  <c r="F280" i="15"/>
  <c r="E280" i="15"/>
  <c r="D280" i="15"/>
  <c r="H280" i="15"/>
  <c r="M280" i="15"/>
  <c r="Q280" i="15" s="1"/>
  <c r="S280" i="15" s="1"/>
  <c r="F297" i="15"/>
  <c r="B297" i="15"/>
  <c r="E297" i="15"/>
  <c r="H297" i="15"/>
  <c r="G297" i="15"/>
  <c r="D297" i="15"/>
  <c r="J297" i="15"/>
  <c r="I297" i="15"/>
  <c r="K297" i="15" s="1"/>
  <c r="C297" i="15"/>
  <c r="C303" i="15"/>
  <c r="F257" i="15"/>
  <c r="J258" i="15"/>
  <c r="N258" i="15" s="1"/>
  <c r="T258" i="15" s="1"/>
  <c r="V258" i="15" s="1"/>
  <c r="C258" i="15"/>
  <c r="B258" i="15"/>
  <c r="F261" i="15"/>
  <c r="O261" i="15" s="1"/>
  <c r="P261" i="15" s="1"/>
  <c r="I280" i="15"/>
  <c r="K280" i="15" s="1"/>
  <c r="E242" i="15"/>
  <c r="D242" i="15"/>
  <c r="I245" i="15"/>
  <c r="K245" i="15" s="1"/>
  <c r="H245" i="15"/>
  <c r="L245" i="15" s="1"/>
  <c r="J251" i="15"/>
  <c r="F251" i="15"/>
  <c r="E251" i="15"/>
  <c r="O254" i="15"/>
  <c r="G257" i="15"/>
  <c r="D258" i="15"/>
  <c r="G261" i="15"/>
  <c r="J280" i="15"/>
  <c r="F304" i="15"/>
  <c r="B304" i="15"/>
  <c r="J304" i="15"/>
  <c r="I304" i="15"/>
  <c r="K304" i="15" s="1"/>
  <c r="H304" i="15"/>
  <c r="G304" i="15"/>
  <c r="D304" i="15"/>
  <c r="B242" i="15"/>
  <c r="B245" i="15"/>
  <c r="M248" i="15"/>
  <c r="Q248" i="15" s="1"/>
  <c r="S248" i="15" s="1"/>
  <c r="B251" i="15"/>
  <c r="F255" i="15"/>
  <c r="I255" i="15"/>
  <c r="K255" i="15" s="1"/>
  <c r="H255" i="15"/>
  <c r="H257" i="15"/>
  <c r="E258" i="15"/>
  <c r="H264" i="15"/>
  <c r="G264" i="15"/>
  <c r="M264" i="15"/>
  <c r="Q264" i="15" s="1"/>
  <c r="S264" i="15" s="1"/>
  <c r="M265" i="15"/>
  <c r="Q265" i="15" s="1"/>
  <c r="S265" i="15" s="1"/>
  <c r="E265" i="15"/>
  <c r="J265" i="15"/>
  <c r="I265" i="15"/>
  <c r="K265" i="15" s="1"/>
  <c r="H265" i="15"/>
  <c r="J269" i="15"/>
  <c r="N269" i="15" s="1"/>
  <c r="T269" i="15" s="1"/>
  <c r="V269" i="15" s="1"/>
  <c r="I269" i="15"/>
  <c r="K269" i="15" s="1"/>
  <c r="H269" i="15"/>
  <c r="G269" i="15"/>
  <c r="D282" i="15"/>
  <c r="J282" i="15"/>
  <c r="I282" i="15"/>
  <c r="K282" i="15" s="1"/>
  <c r="H282" i="15"/>
  <c r="M282" i="15"/>
  <c r="Q282" i="15" s="1"/>
  <c r="S282" i="15" s="1"/>
  <c r="C282" i="15"/>
  <c r="C304" i="15"/>
  <c r="J293" i="15"/>
  <c r="C293" i="15"/>
  <c r="I293" i="15"/>
  <c r="K293" i="15" s="1"/>
  <c r="H293" i="15"/>
  <c r="D293" i="15"/>
  <c r="E304" i="15"/>
  <c r="L304" i="15" s="1"/>
  <c r="J307" i="15"/>
  <c r="H307" i="15"/>
  <c r="M307" i="15"/>
  <c r="Q307" i="15" s="1"/>
  <c r="S307" i="15" s="1"/>
  <c r="F307" i="15"/>
  <c r="I307" i="15"/>
  <c r="K307" i="15" s="1"/>
  <c r="G307" i="15"/>
  <c r="B307" i="15"/>
  <c r="D312" i="15"/>
  <c r="G312" i="15"/>
  <c r="I312" i="15"/>
  <c r="K312" i="15" s="1"/>
  <c r="H312" i="15"/>
  <c r="F312" i="15"/>
  <c r="C312" i="15"/>
  <c r="E312" i="15"/>
  <c r="B312" i="15"/>
  <c r="M312" i="15"/>
  <c r="Q312" i="15" s="1"/>
  <c r="S312" i="15" s="1"/>
  <c r="J312" i="15"/>
  <c r="N312" i="15" s="1"/>
  <c r="T312" i="15" s="1"/>
  <c r="B322" i="15"/>
  <c r="J322" i="15"/>
  <c r="I322" i="15"/>
  <c r="K322" i="15" s="1"/>
  <c r="H322" i="15"/>
  <c r="M322" i="15"/>
  <c r="Q322" i="15" s="1"/>
  <c r="S322" i="15" s="1"/>
  <c r="G322" i="15"/>
  <c r="E322" i="15"/>
  <c r="F322" i="15"/>
  <c r="D322" i="15"/>
  <c r="B291" i="15"/>
  <c r="F291" i="15"/>
  <c r="E291" i="15"/>
  <c r="D291" i="15"/>
  <c r="H291" i="15"/>
  <c r="H309" i="15"/>
  <c r="J309" i="15"/>
  <c r="M309" i="15"/>
  <c r="Q309" i="15" s="1"/>
  <c r="S309" i="15" s="1"/>
  <c r="D309" i="15"/>
  <c r="C309" i="15"/>
  <c r="B309" i="15"/>
  <c r="I309" i="15"/>
  <c r="K309" i="15" s="1"/>
  <c r="C322" i="15"/>
  <c r="I275" i="15"/>
  <c r="K275" i="15" s="1"/>
  <c r="O275" i="15" s="1"/>
  <c r="H275" i="15"/>
  <c r="B287" i="15"/>
  <c r="M287" i="15"/>
  <c r="Q287" i="15" s="1"/>
  <c r="S287" i="15" s="1"/>
  <c r="E287" i="15"/>
  <c r="H288" i="15"/>
  <c r="G288" i="15"/>
  <c r="I288" i="15"/>
  <c r="K288" i="15" s="1"/>
  <c r="F288" i="15"/>
  <c r="E288" i="15"/>
  <c r="B288" i="15"/>
  <c r="G291" i="15"/>
  <c r="B301" i="15"/>
  <c r="E301" i="15"/>
  <c r="H301" i="15"/>
  <c r="G301" i="15"/>
  <c r="F301" i="15"/>
  <c r="D301" i="15"/>
  <c r="G305" i="15"/>
  <c r="J305" i="15"/>
  <c r="N305" i="15" s="1"/>
  <c r="T305" i="15" s="1"/>
  <c r="E305" i="15"/>
  <c r="D305" i="15"/>
  <c r="C305" i="15"/>
  <c r="I305" i="15"/>
  <c r="K305" i="15" s="1"/>
  <c r="M305" i="15"/>
  <c r="Q305" i="15" s="1"/>
  <c r="S305" i="15" s="1"/>
  <c r="F309" i="15"/>
  <c r="D327" i="15"/>
  <c r="F327" i="15"/>
  <c r="E327" i="15"/>
  <c r="C327" i="15"/>
  <c r="I327" i="15"/>
  <c r="K327" i="15" s="1"/>
  <c r="H327" i="15"/>
  <c r="M327" i="15"/>
  <c r="Q327" i="15" s="1"/>
  <c r="S327" i="15" s="1"/>
  <c r="J327" i="15"/>
  <c r="G327" i="15"/>
  <c r="B327" i="15"/>
  <c r="I267" i="15"/>
  <c r="K267" i="15" s="1"/>
  <c r="O267" i="15" s="1"/>
  <c r="B275" i="15"/>
  <c r="C287" i="15"/>
  <c r="C288" i="15"/>
  <c r="I291" i="15"/>
  <c r="K291" i="15" s="1"/>
  <c r="C301" i="15"/>
  <c r="B305" i="15"/>
  <c r="G309" i="15"/>
  <c r="B267" i="15"/>
  <c r="O270" i="15"/>
  <c r="C275" i="15"/>
  <c r="D285" i="15"/>
  <c r="L285" i="15" s="1"/>
  <c r="M285" i="15"/>
  <c r="Q285" i="15" s="1"/>
  <c r="S285" i="15" s="1"/>
  <c r="I285" i="15"/>
  <c r="K285" i="15" s="1"/>
  <c r="H285" i="15"/>
  <c r="G285" i="15"/>
  <c r="J285" i="15"/>
  <c r="D287" i="15"/>
  <c r="D288" i="15"/>
  <c r="J291" i="15"/>
  <c r="I301" i="15"/>
  <c r="K301" i="15" s="1"/>
  <c r="F305" i="15"/>
  <c r="J301" i="15"/>
  <c r="F311" i="15"/>
  <c r="M311" i="15"/>
  <c r="Q311" i="15" s="1"/>
  <c r="S311" i="15" s="1"/>
  <c r="J311" i="15"/>
  <c r="H311" i="15"/>
  <c r="C311" i="15"/>
  <c r="B311" i="15"/>
  <c r="F318" i="15"/>
  <c r="H318" i="15"/>
  <c r="G318" i="15"/>
  <c r="E318" i="15"/>
  <c r="L318" i="15" s="1"/>
  <c r="M318" i="15"/>
  <c r="Q318" i="15" s="1"/>
  <c r="S318" i="15" s="1"/>
  <c r="B318" i="15"/>
  <c r="D318" i="15"/>
  <c r="D320" i="15"/>
  <c r="I320" i="15"/>
  <c r="K320" i="15" s="1"/>
  <c r="H320" i="15"/>
  <c r="G320" i="15"/>
  <c r="M320" i="15"/>
  <c r="Q320" i="15" s="1"/>
  <c r="S320" i="15" s="1"/>
  <c r="J320" i="15"/>
  <c r="J324" i="15"/>
  <c r="I324" i="15"/>
  <c r="K324" i="15" s="1"/>
  <c r="M324" i="15"/>
  <c r="Q324" i="15" s="1"/>
  <c r="S324" i="15" s="1"/>
  <c r="H324" i="15"/>
  <c r="F324" i="15"/>
  <c r="F320" i="15"/>
  <c r="E324" i="15"/>
  <c r="I296" i="15"/>
  <c r="K296" i="15" s="1"/>
  <c r="J296" i="15"/>
  <c r="N296" i="15" s="1"/>
  <c r="T296" i="15" s="1"/>
  <c r="H296" i="15"/>
  <c r="L296" i="15" s="1"/>
  <c r="J300" i="15"/>
  <c r="I300" i="15"/>
  <c r="K300" i="15" s="1"/>
  <c r="H300" i="15"/>
  <c r="L300" i="15" s="1"/>
  <c r="C310" i="15"/>
  <c r="F310" i="15"/>
  <c r="G324" i="15"/>
  <c r="F283" i="15"/>
  <c r="D283" i="15"/>
  <c r="C283" i="15"/>
  <c r="B283" i="15"/>
  <c r="B294" i="15"/>
  <c r="E294" i="15"/>
  <c r="D294" i="15"/>
  <c r="C294" i="15"/>
  <c r="D299" i="15"/>
  <c r="C299" i="15"/>
  <c r="G299" i="15"/>
  <c r="M299" i="15"/>
  <c r="Q299" i="15" s="1"/>
  <c r="S299" i="15" s="1"/>
  <c r="B300" i="15"/>
  <c r="B310" i="15"/>
  <c r="F325" i="15"/>
  <c r="D325" i="15"/>
  <c r="C325" i="15"/>
  <c r="B325" i="15"/>
  <c r="H325" i="15"/>
  <c r="G325" i="15"/>
  <c r="M325" i="15"/>
  <c r="Q325" i="15" s="1"/>
  <c r="S325" i="15" s="1"/>
  <c r="J325" i="15"/>
  <c r="F323" i="15"/>
  <c r="E325" i="15"/>
  <c r="I325" i="15"/>
  <c r="K325" i="15" s="1"/>
  <c r="M296" i="15"/>
  <c r="Q296" i="15" s="1"/>
  <c r="S296" i="15" s="1"/>
  <c r="J299" i="15"/>
  <c r="M300" i="15"/>
  <c r="Q300" i="15" s="1"/>
  <c r="S300" i="15" s="1"/>
  <c r="J310" i="15"/>
  <c r="N310" i="15" s="1"/>
  <c r="T310" i="15" s="1"/>
  <c r="J286" i="15"/>
  <c r="N286" i="15" s="1"/>
  <c r="T286" i="15" s="1"/>
  <c r="V286" i="15" s="1"/>
  <c r="F286" i="15"/>
  <c r="J298" i="15"/>
  <c r="N298" i="15" s="1"/>
  <c r="T298" i="15" s="1"/>
  <c r="V298" i="15" s="1"/>
  <c r="J330" i="15"/>
  <c r="F276" i="15"/>
  <c r="B278" i="15"/>
  <c r="B286" i="15"/>
  <c r="B298" i="15"/>
  <c r="H274" i="15"/>
  <c r="L274" i="15" s="1"/>
  <c r="C278" i="15"/>
  <c r="C286" i="15"/>
  <c r="C298" i="15"/>
  <c r="D306" i="15"/>
  <c r="C306" i="15"/>
  <c r="J314" i="15"/>
  <c r="N314" i="15" s="1"/>
  <c r="T314" i="15" s="1"/>
  <c r="V314" i="15" s="1"/>
  <c r="E314" i="15"/>
  <c r="D314" i="15"/>
  <c r="C314" i="15"/>
  <c r="H314" i="15"/>
  <c r="M317" i="15"/>
  <c r="Q317" i="15" s="1"/>
  <c r="S317" i="15" s="1"/>
  <c r="C317" i="15"/>
  <c r="H316" i="15"/>
  <c r="F316" i="15"/>
  <c r="E316" i="15"/>
  <c r="D316" i="15"/>
  <c r="J316" i="15"/>
  <c r="N316" i="15" s="1"/>
  <c r="T316" i="15" s="1"/>
  <c r="B317" i="15"/>
  <c r="G329" i="15"/>
  <c r="G331" i="15"/>
  <c r="E330" i="15"/>
  <c r="B331" i="15"/>
  <c r="E323" i="15"/>
  <c r="J328" i="15"/>
  <c r="F330" i="15"/>
  <c r="C331" i="15"/>
  <c r="H302" i="15"/>
  <c r="L302" i="15" s="1"/>
  <c r="E308" i="15"/>
  <c r="L308" i="15" s="1"/>
  <c r="I330" i="15"/>
  <c r="K330" i="15" s="1"/>
  <c r="D331" i="15"/>
  <c r="F331" i="15"/>
  <c r="F332" i="15"/>
  <c r="E332" i="15"/>
  <c r="B332" i="15"/>
  <c r="M330" i="15"/>
  <c r="Q330" i="15" s="1"/>
  <c r="S330" i="15" s="1"/>
  <c r="H330" i="15"/>
  <c r="G330" i="15"/>
  <c r="H323" i="15"/>
  <c r="B330" i="15"/>
  <c r="J321" i="15"/>
  <c r="N321" i="15" s="1"/>
  <c r="T321" i="15" s="1"/>
  <c r="B323" i="15"/>
  <c r="C330" i="15"/>
  <c r="H295" i="15"/>
  <c r="L295" i="15" s="1"/>
  <c r="B321" i="15"/>
  <c r="C323" i="15"/>
  <c r="D330" i="15"/>
  <c r="E331" i="15"/>
  <c r="M331" i="15"/>
  <c r="Q331" i="15" s="1"/>
  <c r="S331" i="15" s="1"/>
  <c r="B329" i="15"/>
  <c r="M333" i="15"/>
  <c r="Q333" i="15" s="1"/>
  <c r="S333" i="15" s="1"/>
  <c r="L307" i="15" l="1"/>
  <c r="N282" i="15"/>
  <c r="T282" i="15" s="1"/>
  <c r="V282" i="15" s="1"/>
  <c r="N325" i="15"/>
  <c r="T325" i="15" s="1"/>
  <c r="V325" i="15" s="1"/>
  <c r="E295" i="9"/>
  <c r="E257" i="11" s="1"/>
  <c r="N301" i="15"/>
  <c r="T301" i="15" s="1"/>
  <c r="V301" i="15" s="1"/>
  <c r="O252" i="15"/>
  <c r="L255" i="15"/>
  <c r="L275" i="15"/>
  <c r="L269" i="15"/>
  <c r="N257" i="15"/>
  <c r="T257" i="15" s="1"/>
  <c r="V257" i="15" s="1"/>
  <c r="N209" i="15"/>
  <c r="T209" i="15" s="1"/>
  <c r="V209" i="15" s="1"/>
  <c r="L167" i="15"/>
  <c r="N66" i="15"/>
  <c r="T66" i="15" s="1"/>
  <c r="L38" i="15"/>
  <c r="L147" i="15"/>
  <c r="L117" i="15"/>
  <c r="D296" i="9"/>
  <c r="D258" i="11" s="1"/>
  <c r="N317" i="15"/>
  <c r="T317" i="15" s="1"/>
  <c r="O286" i="15"/>
  <c r="L124" i="15"/>
  <c r="O248" i="15"/>
  <c r="P248" i="15" s="1"/>
  <c r="L259" i="15"/>
  <c r="N248" i="15"/>
  <c r="T248" i="15" s="1"/>
  <c r="V248" i="15" s="1"/>
  <c r="N283" i="15"/>
  <c r="T283" i="15" s="1"/>
  <c r="V283" i="15" s="1"/>
  <c r="N297" i="15"/>
  <c r="T297" i="15" s="1"/>
  <c r="N33" i="15"/>
  <c r="T33" i="15" s="1"/>
  <c r="V33" i="15" s="1"/>
  <c r="L263" i="15"/>
  <c r="L298" i="15"/>
  <c r="N274" i="15"/>
  <c r="T274" i="15" s="1"/>
  <c r="V274" i="15" s="1"/>
  <c r="O289" i="15"/>
  <c r="P289" i="15" s="1"/>
  <c r="N6" i="15"/>
  <c r="T6" i="15" s="1"/>
  <c r="V6" i="15" s="1"/>
  <c r="P267" i="15"/>
  <c r="N309" i="15"/>
  <c r="T309" i="15" s="1"/>
  <c r="V309" i="15" s="1"/>
  <c r="N303" i="15"/>
  <c r="T303" i="15" s="1"/>
  <c r="V303" i="15" s="1"/>
  <c r="L252" i="15"/>
  <c r="N196" i="15"/>
  <c r="T196" i="15" s="1"/>
  <c r="V196" i="15" s="1"/>
  <c r="L256" i="15"/>
  <c r="L299" i="15"/>
  <c r="N276" i="15"/>
  <c r="T276" i="15" s="1"/>
  <c r="V276" i="15" s="1"/>
  <c r="L290" i="15"/>
  <c r="L183" i="15"/>
  <c r="N70" i="15"/>
  <c r="T70" i="15" s="1"/>
  <c r="L121" i="15"/>
  <c r="L181" i="15"/>
  <c r="N300" i="15"/>
  <c r="T300" i="15" s="1"/>
  <c r="V300" i="15" s="1"/>
  <c r="L264" i="15"/>
  <c r="N304" i="15"/>
  <c r="T304" i="15" s="1"/>
  <c r="V304" i="15" s="1"/>
  <c r="N208" i="15"/>
  <c r="T208" i="15" s="1"/>
  <c r="V208" i="15" s="1"/>
  <c r="L204" i="15"/>
  <c r="N110" i="15"/>
  <c r="T110" i="15" s="1"/>
  <c r="V110" i="15" s="1"/>
  <c r="N11" i="15"/>
  <c r="T11" i="15" s="1"/>
  <c r="V11" i="15" s="1"/>
  <c r="N280" i="15"/>
  <c r="T280" i="15" s="1"/>
  <c r="V280" i="15" s="1"/>
  <c r="L214" i="15"/>
  <c r="L193" i="15"/>
  <c r="N232" i="15"/>
  <c r="T232" i="15" s="1"/>
  <c r="V232" i="15" s="1"/>
  <c r="N181" i="15"/>
  <c r="T181" i="15" s="1"/>
  <c r="L133" i="15"/>
  <c r="L276" i="15"/>
  <c r="P271" i="15"/>
  <c r="L324" i="15"/>
  <c r="L293" i="15"/>
  <c r="N194" i="15"/>
  <c r="T194" i="15" s="1"/>
  <c r="V194" i="15" s="1"/>
  <c r="L140" i="15"/>
  <c r="L62" i="15"/>
  <c r="N153" i="15"/>
  <c r="T153" i="15" s="1"/>
  <c r="L49" i="15"/>
  <c r="N29" i="15"/>
  <c r="T29" i="15" s="1"/>
  <c r="V29" i="15" s="1"/>
  <c r="P275" i="15"/>
  <c r="N237" i="15"/>
  <c r="T237" i="15" s="1"/>
  <c r="V237" i="15" s="1"/>
  <c r="L134" i="15"/>
  <c r="L93" i="15"/>
  <c r="N166" i="15"/>
  <c r="T166" i="15" s="1"/>
  <c r="V166" i="15" s="1"/>
  <c r="L89" i="15"/>
  <c r="N250" i="15"/>
  <c r="T250" i="15" s="1"/>
  <c r="N278" i="15"/>
  <c r="T278" i="15" s="1"/>
  <c r="V278" i="15" s="1"/>
  <c r="N15" i="15"/>
  <c r="T15" i="15" s="1"/>
  <c r="V15" i="15" s="1"/>
  <c r="N231" i="15"/>
  <c r="T231" i="15" s="1"/>
  <c r="V231" i="15" s="1"/>
  <c r="D289" i="9"/>
  <c r="D251" i="11" s="1"/>
  <c r="L282" i="15"/>
  <c r="P259" i="15"/>
  <c r="N36" i="15"/>
  <c r="T36" i="15" s="1"/>
  <c r="V36" i="15" s="1"/>
  <c r="L283" i="15"/>
  <c r="N313" i="15"/>
  <c r="T313" i="15" s="1"/>
  <c r="N259" i="15"/>
  <c r="T259" i="15" s="1"/>
  <c r="V259" i="15" s="1"/>
  <c r="N260" i="15"/>
  <c r="T260" i="15" s="1"/>
  <c r="V260" i="15" s="1"/>
  <c r="L161" i="15"/>
  <c r="N38" i="15"/>
  <c r="T38" i="15" s="1"/>
  <c r="D286" i="9"/>
  <c r="N261" i="15"/>
  <c r="T261" i="15" s="1"/>
  <c r="V261" i="15" s="1"/>
  <c r="N256" i="15"/>
  <c r="T256" i="15" s="1"/>
  <c r="N60" i="15"/>
  <c r="T60" i="15" s="1"/>
  <c r="V60" i="15" s="1"/>
  <c r="O26" i="15"/>
  <c r="N57" i="15"/>
  <c r="T57" i="15" s="1"/>
  <c r="N293" i="15"/>
  <c r="T293" i="15" s="1"/>
  <c r="V293" i="15" s="1"/>
  <c r="L207" i="15"/>
  <c r="N277" i="15"/>
  <c r="T277" i="15" s="1"/>
  <c r="V277" i="15" s="1"/>
  <c r="L271" i="15"/>
  <c r="L250" i="15"/>
  <c r="N247" i="15"/>
  <c r="T247" i="15" s="1"/>
  <c r="V247" i="15" s="1"/>
  <c r="N171" i="15"/>
  <c r="T171" i="15" s="1"/>
  <c r="V171" i="15" s="1"/>
  <c r="N148" i="15"/>
  <c r="T148" i="15" s="1"/>
  <c r="V148" i="15" s="1"/>
  <c r="L320" i="15"/>
  <c r="N285" i="15"/>
  <c r="T285" i="15" s="1"/>
  <c r="V285" i="15" s="1"/>
  <c r="N299" i="15"/>
  <c r="T299" i="15" s="1"/>
  <c r="V299" i="15" s="1"/>
  <c r="O274" i="15"/>
  <c r="P274" i="15" s="1"/>
  <c r="L309" i="15"/>
  <c r="N251" i="15"/>
  <c r="T251" i="15" s="1"/>
  <c r="V251" i="15" s="1"/>
  <c r="O273" i="15"/>
  <c r="P273" i="15" s="1"/>
  <c r="N183" i="15"/>
  <c r="T183" i="15" s="1"/>
  <c r="L50" i="15"/>
  <c r="N254" i="15"/>
  <c r="T254" i="15" s="1"/>
  <c r="N40" i="15"/>
  <c r="T40" i="15" s="1"/>
  <c r="O247" i="15"/>
  <c r="L247" i="15"/>
  <c r="N272" i="15"/>
  <c r="T272" i="15" s="1"/>
  <c r="V272" i="15" s="1"/>
  <c r="N150" i="15"/>
  <c r="T150" i="15" s="1"/>
  <c r="V150" i="15" s="1"/>
  <c r="P24" i="14"/>
  <c r="P6" i="14"/>
  <c r="P15" i="14"/>
  <c r="P22" i="14"/>
  <c r="P37" i="14"/>
  <c r="P9" i="14"/>
  <c r="L24" i="15"/>
  <c r="O24" i="15"/>
  <c r="N73" i="15"/>
  <c r="T73" i="15" s="1"/>
  <c r="V73" i="15" s="1"/>
  <c r="L172" i="15"/>
  <c r="I329" i="15"/>
  <c r="K329" i="15" s="1"/>
  <c r="O280" i="15"/>
  <c r="L280" i="15"/>
  <c r="L257" i="15"/>
  <c r="N271" i="15"/>
  <c r="T271" i="15" s="1"/>
  <c r="V271" i="15" s="1"/>
  <c r="N290" i="15"/>
  <c r="T290" i="15" s="1"/>
  <c r="V290" i="15" s="1"/>
  <c r="O290" i="15"/>
  <c r="P290" i="15" s="1"/>
  <c r="N240" i="15"/>
  <c r="T240" i="15" s="1"/>
  <c r="V240" i="15" s="1"/>
  <c r="N104" i="15"/>
  <c r="T104" i="15" s="1"/>
  <c r="V104" i="15" s="1"/>
  <c r="L150" i="15"/>
  <c r="O17" i="15"/>
  <c r="L17" i="15"/>
  <c r="P29" i="14"/>
  <c r="P28" i="14"/>
  <c r="P25" i="14"/>
  <c r="N253" i="15"/>
  <c r="T253" i="15" s="1"/>
  <c r="V253" i="15" s="1"/>
  <c r="N275" i="15"/>
  <c r="T275" i="15" s="1"/>
  <c r="V275" i="15" s="1"/>
  <c r="N289" i="15"/>
  <c r="T289" i="15" s="1"/>
  <c r="V289" i="15" s="1"/>
  <c r="N294" i="15"/>
  <c r="T294" i="15" s="1"/>
  <c r="V294" i="15" s="1"/>
  <c r="L270" i="15"/>
  <c r="P270" i="15" s="1"/>
  <c r="O198" i="15"/>
  <c r="O191" i="15"/>
  <c r="O215" i="15"/>
  <c r="O214" i="15"/>
  <c r="P214" i="15" s="1"/>
  <c r="O201" i="15"/>
  <c r="O207" i="15"/>
  <c r="P207" i="15" s="1"/>
  <c r="O189" i="15"/>
  <c r="O213" i="15"/>
  <c r="O194" i="15"/>
  <c r="O210" i="15"/>
  <c r="O209" i="15"/>
  <c r="O211" i="15"/>
  <c r="O202" i="15"/>
  <c r="O200" i="15"/>
  <c r="O204" i="15"/>
  <c r="P204" i="15" s="1"/>
  <c r="O197" i="15"/>
  <c r="O196" i="15"/>
  <c r="O195" i="15"/>
  <c r="O208" i="15"/>
  <c r="O199" i="15"/>
  <c r="P199" i="15" s="1"/>
  <c r="O187" i="15"/>
  <c r="O193" i="15"/>
  <c r="O206" i="15"/>
  <c r="O192" i="15"/>
  <c r="P192" i="15" s="1"/>
  <c r="N87" i="15"/>
  <c r="T87" i="15" s="1"/>
  <c r="V87" i="15" s="1"/>
  <c r="N99" i="15"/>
  <c r="T99" i="15" s="1"/>
  <c r="V99" i="15" s="1"/>
  <c r="N115" i="15"/>
  <c r="T115" i="15" s="1"/>
  <c r="N136" i="15"/>
  <c r="T136" i="15" s="1"/>
  <c r="V136" i="15" s="1"/>
  <c r="O104" i="15"/>
  <c r="P104" i="15" s="1"/>
  <c r="L104" i="15"/>
  <c r="L144" i="15"/>
  <c r="P31" i="14"/>
  <c r="P30" i="14"/>
  <c r="P13" i="14"/>
  <c r="P12" i="14"/>
  <c r="O22" i="15"/>
  <c r="L22" i="15"/>
  <c r="P8" i="14"/>
  <c r="R3" i="15"/>
  <c r="R4" i="15" s="1"/>
  <c r="R5" i="15" s="1"/>
  <c r="R6" i="15" s="1"/>
  <c r="R7" i="15" s="1"/>
  <c r="R8" i="15" s="1"/>
  <c r="R9" i="15" s="1"/>
  <c r="R10" i="15" s="1"/>
  <c r="R11" i="15" s="1"/>
  <c r="R12" i="15" s="1"/>
  <c r="R13" i="15" s="1"/>
  <c r="R14" i="15" s="1"/>
  <c r="R15" i="15" s="1"/>
  <c r="S3" i="15"/>
  <c r="N238" i="15"/>
  <c r="T238" i="15" s="1"/>
  <c r="V238" i="15" s="1"/>
  <c r="N98" i="15"/>
  <c r="T98" i="15" s="1"/>
  <c r="N111" i="15"/>
  <c r="T111" i="15" s="1"/>
  <c r="V111" i="15" s="1"/>
  <c r="N128" i="15"/>
  <c r="T128" i="15" s="1"/>
  <c r="V128" i="15" s="1"/>
  <c r="N123" i="15"/>
  <c r="T123" i="15" s="1"/>
  <c r="V123" i="15" s="1"/>
  <c r="L158" i="15"/>
  <c r="L291" i="15"/>
  <c r="O291" i="15"/>
  <c r="O276" i="15"/>
  <c r="P276" i="15" s="1"/>
  <c r="L277" i="15"/>
  <c r="O277" i="15"/>
  <c r="N279" i="15"/>
  <c r="T279" i="15" s="1"/>
  <c r="V279" i="15" s="1"/>
  <c r="P263" i="15"/>
  <c r="N236" i="15"/>
  <c r="T236" i="15" s="1"/>
  <c r="V236" i="15" s="1"/>
  <c r="N244" i="15"/>
  <c r="T244" i="15" s="1"/>
  <c r="V244" i="15" s="1"/>
  <c r="N241" i="15"/>
  <c r="T241" i="15" s="1"/>
  <c r="V241" i="15" s="1"/>
  <c r="N233" i="15"/>
  <c r="T233" i="15" s="1"/>
  <c r="V233" i="15" s="1"/>
  <c r="L162" i="15"/>
  <c r="L194" i="15"/>
  <c r="O169" i="15"/>
  <c r="O165" i="15"/>
  <c r="L165" i="15"/>
  <c r="L118" i="15"/>
  <c r="N10" i="15"/>
  <c r="T10" i="15" s="1"/>
  <c r="V10" i="15" s="1"/>
  <c r="L54" i="15"/>
  <c r="O28" i="15"/>
  <c r="P14" i="14"/>
  <c r="L58" i="15"/>
  <c r="L75" i="15"/>
  <c r="L48" i="15"/>
  <c r="N127" i="15"/>
  <c r="T127" i="15" s="1"/>
  <c r="V127" i="15" s="1"/>
  <c r="N94" i="15"/>
  <c r="T94" i="15" s="1"/>
  <c r="V94" i="15" s="1"/>
  <c r="L156" i="15"/>
  <c r="N311" i="15"/>
  <c r="T311" i="15" s="1"/>
  <c r="L253" i="15"/>
  <c r="O253" i="15"/>
  <c r="D25" i="11" s="1"/>
  <c r="N291" i="15"/>
  <c r="T291" i="15" s="1"/>
  <c r="V291" i="15" s="1"/>
  <c r="L327" i="15"/>
  <c r="P246" i="15"/>
  <c r="L241" i="15"/>
  <c r="O241" i="15"/>
  <c r="O282" i="15"/>
  <c r="P282" i="15" s="1"/>
  <c r="L178" i="15"/>
  <c r="N169" i="15"/>
  <c r="T169" i="15" s="1"/>
  <c r="V169" i="15" s="1"/>
  <c r="O167" i="15"/>
  <c r="P167" i="15" s="1"/>
  <c r="N43" i="15"/>
  <c r="T43" i="15" s="1"/>
  <c r="V43" i="15" s="1"/>
  <c r="L8" i="15"/>
  <c r="O8" i="15"/>
  <c r="P27" i="14"/>
  <c r="N266" i="15"/>
  <c r="T266" i="15" s="1"/>
  <c r="V266" i="15" s="1"/>
  <c r="N246" i="15"/>
  <c r="T246" i="15" s="1"/>
  <c r="V246" i="15" s="1"/>
  <c r="N165" i="15"/>
  <c r="T165" i="15" s="1"/>
  <c r="V165" i="15" s="1"/>
  <c r="N108" i="15"/>
  <c r="T108" i="15" s="1"/>
  <c r="V108" i="15" s="1"/>
  <c r="N158" i="15"/>
  <c r="T158" i="15" s="1"/>
  <c r="V158" i="15" s="1"/>
  <c r="P11" i="14"/>
  <c r="P26" i="14"/>
  <c r="N121" i="15"/>
  <c r="T121" i="15" s="1"/>
  <c r="V121" i="15" s="1"/>
  <c r="L313" i="15"/>
  <c r="O258" i="15"/>
  <c r="L258" i="15"/>
  <c r="L279" i="15"/>
  <c r="O279" i="15"/>
  <c r="N292" i="15"/>
  <c r="T292" i="15" s="1"/>
  <c r="V292" i="15" s="1"/>
  <c r="N218" i="15"/>
  <c r="T218" i="15" s="1"/>
  <c r="N249" i="15"/>
  <c r="T249" i="15" s="1"/>
  <c r="V249" i="15" s="1"/>
  <c r="L21" i="15"/>
  <c r="O21" i="15"/>
  <c r="P17" i="14"/>
  <c r="P16" i="14"/>
  <c r="P10" i="14"/>
  <c r="L286" i="15"/>
  <c r="P286" i="15" s="1"/>
  <c r="I331" i="15"/>
  <c r="K331" i="15" s="1"/>
  <c r="O265" i="15"/>
  <c r="L265" i="15"/>
  <c r="L312" i="15"/>
  <c r="O262" i="15"/>
  <c r="L262" i="15"/>
  <c r="L173" i="15"/>
  <c r="N211" i="15"/>
  <c r="T211" i="15" s="1"/>
  <c r="V211" i="15" s="1"/>
  <c r="N187" i="15"/>
  <c r="T187" i="15" s="1"/>
  <c r="N77" i="15"/>
  <c r="T77" i="15" s="1"/>
  <c r="V77" i="15" s="1"/>
  <c r="L84" i="15"/>
  <c r="O19" i="15"/>
  <c r="L19" i="15"/>
  <c r="N39" i="15"/>
  <c r="T39" i="15" s="1"/>
  <c r="N48" i="15"/>
  <c r="T48" i="15" s="1"/>
  <c r="V48" i="15" s="1"/>
  <c r="P7" i="14"/>
  <c r="N34" i="15"/>
  <c r="T34" i="15" s="1"/>
  <c r="V34" i="15" s="1"/>
  <c r="N12" i="15"/>
  <c r="T12" i="15" s="1"/>
  <c r="V12" i="15" s="1"/>
  <c r="L260" i="15"/>
  <c r="O260" i="15"/>
  <c r="P260" i="15" s="1"/>
  <c r="N307" i="15"/>
  <c r="T307" i="15" s="1"/>
  <c r="P278" i="15"/>
  <c r="N268" i="15"/>
  <c r="T268" i="15" s="1"/>
  <c r="V268" i="15" s="1"/>
  <c r="L325" i="15"/>
  <c r="L322" i="15"/>
  <c r="N284" i="15"/>
  <c r="T284" i="15" s="1"/>
  <c r="V284" i="15" s="1"/>
  <c r="N234" i="15"/>
  <c r="T234" i="15" s="1"/>
  <c r="V234" i="15" s="1"/>
  <c r="L249" i="15"/>
  <c r="O249" i="15"/>
  <c r="O244" i="15"/>
  <c r="L244" i="15"/>
  <c r="O272" i="15"/>
  <c r="L272" i="15"/>
  <c r="L132" i="15"/>
  <c r="L187" i="15"/>
  <c r="L148" i="15"/>
  <c r="O166" i="15"/>
  <c r="L153" i="15"/>
  <c r="N3" i="15"/>
  <c r="O60" i="15"/>
  <c r="O57" i="15"/>
  <c r="O63" i="15"/>
  <c r="O62" i="15"/>
  <c r="P62" i="15" s="1"/>
  <c r="O58" i="15"/>
  <c r="P58" i="15" s="1"/>
  <c r="O56" i="15"/>
  <c r="O34" i="15"/>
  <c r="P34" i="15" s="1"/>
  <c r="O48" i="15"/>
  <c r="O35" i="15"/>
  <c r="P35" i="15" s="1"/>
  <c r="O40" i="15"/>
  <c r="P40" i="15" s="1"/>
  <c r="O38" i="15"/>
  <c r="P38" i="15" s="1"/>
  <c r="O32" i="15"/>
  <c r="P32" i="15" s="1"/>
  <c r="O43" i="15"/>
  <c r="O33" i="15"/>
  <c r="P33" i="15" s="1"/>
  <c r="O49" i="15"/>
  <c r="P49" i="15" s="1"/>
  <c r="O37" i="15"/>
  <c r="O36" i="15"/>
  <c r="P36" i="15" s="1"/>
  <c r="O5" i="15"/>
  <c r="L5" i="15"/>
  <c r="L43" i="15"/>
  <c r="N75" i="15"/>
  <c r="T75" i="15" s="1"/>
  <c r="V75" i="15" s="1"/>
  <c r="P21" i="14"/>
  <c r="N20" i="15"/>
  <c r="T20" i="15" s="1"/>
  <c r="V20" i="15" s="1"/>
  <c r="N22" i="15"/>
  <c r="T22" i="15" s="1"/>
  <c r="V22" i="15" s="1"/>
  <c r="N17" i="15"/>
  <c r="T17" i="15" s="1"/>
  <c r="V17" i="15" s="1"/>
  <c r="O306" i="15"/>
  <c r="O331" i="15"/>
  <c r="O324" i="15"/>
  <c r="P324" i="15" s="1"/>
  <c r="O313" i="15"/>
  <c r="O300" i="15"/>
  <c r="P300" i="15" s="1"/>
  <c r="O326" i="15"/>
  <c r="O332" i="15"/>
  <c r="O323" i="15"/>
  <c r="O330" i="15"/>
  <c r="P330" i="15" s="1"/>
  <c r="O325" i="15"/>
  <c r="O322" i="15"/>
  <c r="O327" i="15"/>
  <c r="O320" i="15"/>
  <c r="P320" i="15" s="1"/>
  <c r="O307" i="15"/>
  <c r="P307" i="15" s="1"/>
  <c r="O303" i="15"/>
  <c r="P303" i="15" s="1"/>
  <c r="O299" i="15"/>
  <c r="P299" i="15" s="1"/>
  <c r="O295" i="15"/>
  <c r="P295" i="15" s="1"/>
  <c r="O318" i="15"/>
  <c r="P318" i="15" s="1"/>
  <c r="O310" i="15"/>
  <c r="O298" i="15"/>
  <c r="P298" i="15" s="1"/>
  <c r="O316" i="15"/>
  <c r="O304" i="15"/>
  <c r="P304" i="15" s="1"/>
  <c r="O305" i="15"/>
  <c r="O302" i="15"/>
  <c r="P302" i="15" s="1"/>
  <c r="O301" i="15"/>
  <c r="O311" i="15"/>
  <c r="O297" i="15"/>
  <c r="O312" i="15"/>
  <c r="O296" i="15"/>
  <c r="P296" i="15" s="1"/>
  <c r="O309" i="15"/>
  <c r="L284" i="15"/>
  <c r="O284" i="15"/>
  <c r="L330" i="15"/>
  <c r="L208" i="15"/>
  <c r="L301" i="15"/>
  <c r="N324" i="15"/>
  <c r="T324" i="15" s="1"/>
  <c r="V324" i="15" s="1"/>
  <c r="P239" i="15"/>
  <c r="L125" i="15"/>
  <c r="O97" i="15"/>
  <c r="P269" i="15"/>
  <c r="O288" i="15"/>
  <c r="L288" i="15"/>
  <c r="L297" i="15"/>
  <c r="L268" i="15"/>
  <c r="O268" i="15"/>
  <c r="L243" i="15"/>
  <c r="L229" i="15"/>
  <c r="L199" i="15"/>
  <c r="L83" i="15"/>
  <c r="P5" i="14"/>
  <c r="L16" i="15"/>
  <c r="N30" i="15"/>
  <c r="T30" i="15" s="1"/>
  <c r="V30" i="15" s="1"/>
  <c r="N45" i="15"/>
  <c r="T45" i="15" s="1"/>
  <c r="V45" i="15" s="1"/>
  <c r="P35" i="14"/>
  <c r="N263" i="15"/>
  <c r="T263" i="15" s="1"/>
  <c r="V263" i="15" s="1"/>
  <c r="N53" i="15"/>
  <c r="T53" i="15" s="1"/>
  <c r="N55" i="15"/>
  <c r="T55" i="15" s="1"/>
  <c r="N26" i="15"/>
  <c r="T26" i="15" s="1"/>
  <c r="N93" i="15"/>
  <c r="T93" i="15" s="1"/>
  <c r="V93" i="15" s="1"/>
  <c r="N184" i="15"/>
  <c r="T184" i="15" s="1"/>
  <c r="V184" i="15" s="1"/>
  <c r="N190" i="15"/>
  <c r="T190" i="15" s="1"/>
  <c r="N154" i="15"/>
  <c r="T154" i="15" s="1"/>
  <c r="L287" i="15"/>
  <c r="O287" i="15"/>
  <c r="O238" i="15"/>
  <c r="L238" i="15"/>
  <c r="O242" i="15"/>
  <c r="P242" i="15" s="1"/>
  <c r="L242" i="15"/>
  <c r="P264" i="15"/>
  <c r="N320" i="15"/>
  <c r="T320" i="15" s="1"/>
  <c r="N262" i="15"/>
  <c r="T262" i="15" s="1"/>
  <c r="V262" i="15" s="1"/>
  <c r="O293" i="15"/>
  <c r="P293" i="15" s="1"/>
  <c r="N189" i="15"/>
  <c r="T189" i="15" s="1"/>
  <c r="N227" i="15"/>
  <c r="T227" i="15" s="1"/>
  <c r="V227" i="15" s="1"/>
  <c r="L215" i="15"/>
  <c r="L196" i="15"/>
  <c r="N180" i="15"/>
  <c r="T180" i="15" s="1"/>
  <c r="V180" i="15" s="1"/>
  <c r="N139" i="15"/>
  <c r="T139" i="15" s="1"/>
  <c r="V139" i="15" s="1"/>
  <c r="N28" i="15"/>
  <c r="T28" i="15" s="1"/>
  <c r="V28" i="15" s="1"/>
  <c r="P33" i="14"/>
  <c r="O184" i="15"/>
  <c r="O177" i="15"/>
  <c r="O156" i="15"/>
  <c r="O149" i="15"/>
  <c r="O182" i="15"/>
  <c r="O137" i="15"/>
  <c r="P137" i="15" s="1"/>
  <c r="O130" i="15"/>
  <c r="O88" i="15"/>
  <c r="O81" i="15"/>
  <c r="O186" i="15"/>
  <c r="O153" i="15"/>
  <c r="O121" i="15"/>
  <c r="P121" i="15" s="1"/>
  <c r="O180" i="15"/>
  <c r="O161" i="15"/>
  <c r="P161" i="15" s="1"/>
  <c r="O152" i="15"/>
  <c r="O129" i="15"/>
  <c r="O122" i="15"/>
  <c r="O115" i="15"/>
  <c r="O94" i="15"/>
  <c r="O181" i="15"/>
  <c r="P181" i="15" s="1"/>
  <c r="O158" i="15"/>
  <c r="O140" i="15"/>
  <c r="P140" i="15" s="1"/>
  <c r="O124" i="15"/>
  <c r="P124" i="15" s="1"/>
  <c r="O119" i="15"/>
  <c r="O150" i="15"/>
  <c r="O134" i="15"/>
  <c r="P134" i="15" s="1"/>
  <c r="O74" i="15"/>
  <c r="O67" i="15"/>
  <c r="O178" i="15"/>
  <c r="O148" i="15"/>
  <c r="O147" i="15"/>
  <c r="P147" i="15" s="1"/>
  <c r="O118" i="15"/>
  <c r="P118" i="15" s="1"/>
  <c r="O93" i="15"/>
  <c r="P93" i="15" s="1"/>
  <c r="O146" i="15"/>
  <c r="O138" i="15"/>
  <c r="O133" i="15"/>
  <c r="P133" i="15" s="1"/>
  <c r="O145" i="15"/>
  <c r="O144" i="15"/>
  <c r="P144" i="15" s="1"/>
  <c r="O117" i="15"/>
  <c r="P117" i="15" s="1"/>
  <c r="O143" i="15"/>
  <c r="P143" i="15" s="1"/>
  <c r="O132" i="15"/>
  <c r="O179" i="15"/>
  <c r="O126" i="15"/>
  <c r="O90" i="15"/>
  <c r="O84" i="15"/>
  <c r="O183" i="15"/>
  <c r="P183" i="15" s="1"/>
  <c r="O89" i="15"/>
  <c r="O83" i="15"/>
  <c r="O69" i="15"/>
  <c r="O125" i="15"/>
  <c r="O120" i="15"/>
  <c r="P120" i="15" s="1"/>
  <c r="O92" i="15"/>
  <c r="O64" i="15"/>
  <c r="O75" i="15"/>
  <c r="P75" i="15" s="1"/>
  <c r="O72" i="15"/>
  <c r="O82" i="15"/>
  <c r="O66" i="15"/>
  <c r="O86" i="15"/>
  <c r="O70" i="15"/>
  <c r="P70" i="15" s="1"/>
  <c r="O79" i="15"/>
  <c r="O77" i="15"/>
  <c r="O68" i="15"/>
  <c r="O91" i="15"/>
  <c r="O87" i="15"/>
  <c r="P87" i="15" s="1"/>
  <c r="O80" i="15"/>
  <c r="O85" i="15"/>
  <c r="O76" i="15"/>
  <c r="L79" i="15"/>
  <c r="L63" i="15"/>
  <c r="L82" i="15"/>
  <c r="N68" i="15"/>
  <c r="T68" i="15" s="1"/>
  <c r="P23" i="14"/>
  <c r="D24" i="11"/>
  <c r="N264" i="15"/>
  <c r="T264" i="15" s="1"/>
  <c r="V264" i="15" s="1"/>
  <c r="H329" i="15"/>
  <c r="G333" i="15"/>
  <c r="J333" i="15"/>
  <c r="I332" i="15"/>
  <c r="K332" i="15" s="1"/>
  <c r="N9" i="15"/>
  <c r="T9" i="15" s="1"/>
  <c r="V9" i="15" s="1"/>
  <c r="O283" i="15"/>
  <c r="P283" i="15" s="1"/>
  <c r="O256" i="15"/>
  <c r="P256" i="15" s="1"/>
  <c r="O257" i="15"/>
  <c r="O285" i="15"/>
  <c r="P285" i="15" s="1"/>
  <c r="O255" i="15"/>
  <c r="P255" i="15" s="1"/>
  <c r="O243" i="15"/>
  <c r="N120" i="15"/>
  <c r="T120" i="15" s="1"/>
  <c r="V120" i="15" s="1"/>
  <c r="N106" i="15"/>
  <c r="T106" i="15" s="1"/>
  <c r="V106" i="15" s="1"/>
  <c r="N134" i="15"/>
  <c r="T134" i="15" s="1"/>
  <c r="V134" i="15" s="1"/>
  <c r="P18" i="14"/>
  <c r="P34" i="14"/>
  <c r="N267" i="15"/>
  <c r="T267" i="15" s="1"/>
  <c r="N19" i="15"/>
  <c r="T19" i="15" s="1"/>
  <c r="V19" i="15" s="1"/>
  <c r="N59" i="15"/>
  <c r="T59" i="15" s="1"/>
  <c r="V59" i="15" s="1"/>
  <c r="N65" i="15"/>
  <c r="T65" i="15" s="1"/>
  <c r="N185" i="15"/>
  <c r="T185" i="15" s="1"/>
  <c r="V185" i="15" s="1"/>
  <c r="N224" i="15"/>
  <c r="T224" i="15" s="1"/>
  <c r="V224" i="15" s="1"/>
  <c r="N281" i="15"/>
  <c r="T281" i="15" s="1"/>
  <c r="V281" i="15" s="1"/>
  <c r="N229" i="15"/>
  <c r="T229" i="15" s="1"/>
  <c r="V229" i="15" s="1"/>
  <c r="L4" i="15"/>
  <c r="O4" i="15"/>
  <c r="N62" i="15"/>
  <c r="T62" i="15" s="1"/>
  <c r="V62" i="15" s="1"/>
  <c r="M329" i="15"/>
  <c r="Q329" i="15" s="1"/>
  <c r="S329" i="15" s="1"/>
  <c r="P250" i="15"/>
  <c r="O266" i="15"/>
  <c r="L266" i="15"/>
  <c r="P20" i="14"/>
  <c r="N330" i="15"/>
  <c r="T330" i="15" s="1"/>
  <c r="L294" i="15"/>
  <c r="O294" i="15"/>
  <c r="N327" i="15"/>
  <c r="T327" i="15" s="1"/>
  <c r="V327" i="15" s="1"/>
  <c r="N322" i="15"/>
  <c r="T322" i="15" s="1"/>
  <c r="V322" i="15" s="1"/>
  <c r="N265" i="15"/>
  <c r="T265" i="15" s="1"/>
  <c r="V265" i="15" s="1"/>
  <c r="L251" i="15"/>
  <c r="O251" i="15"/>
  <c r="O281" i="15"/>
  <c r="L281" i="15"/>
  <c r="O292" i="15"/>
  <c r="L292" i="15"/>
  <c r="O245" i="15"/>
  <c r="P245" i="15" s="1"/>
  <c r="P252" i="15"/>
  <c r="L233" i="15"/>
  <c r="L237" i="15"/>
  <c r="N141" i="15"/>
  <c r="T141" i="15" s="1"/>
  <c r="V141" i="15" s="1"/>
  <c r="L211" i="15"/>
  <c r="L197" i="15"/>
  <c r="N124" i="15"/>
  <c r="T124" i="15" s="1"/>
  <c r="V124" i="15" s="1"/>
  <c r="P4" i="14"/>
  <c r="P19" i="14"/>
  <c r="O11" i="15"/>
  <c r="L11" i="15"/>
  <c r="O227" i="15"/>
  <c r="P227" i="15" s="1"/>
  <c r="O226" i="15"/>
  <c r="O225" i="15"/>
  <c r="P225" i="15" s="1"/>
  <c r="O224" i="15"/>
  <c r="P224" i="15" s="1"/>
  <c r="O220" i="15"/>
  <c r="O221" i="15"/>
  <c r="P221" i="15" s="1"/>
  <c r="L86" i="15"/>
  <c r="N90" i="15"/>
  <c r="T90" i="15" s="1"/>
  <c r="V90" i="15" s="1"/>
  <c r="F333" i="15"/>
  <c r="O333" i="15" s="1"/>
  <c r="N205" i="15"/>
  <c r="T205" i="15" s="1"/>
  <c r="V205" i="15" s="1"/>
  <c r="G311" i="15"/>
  <c r="L311" i="15" s="1"/>
  <c r="M306" i="15"/>
  <c r="Q306" i="15" s="1"/>
  <c r="S306" i="15" s="1"/>
  <c r="H326" i="15"/>
  <c r="G323" i="15"/>
  <c r="L323" i="15" s="1"/>
  <c r="M323" i="15"/>
  <c r="Q323" i="15" s="1"/>
  <c r="S323" i="15" s="1"/>
  <c r="M315" i="15"/>
  <c r="Q315" i="15" s="1"/>
  <c r="S315" i="15" s="1"/>
  <c r="F19" i="6"/>
  <c r="F33" i="7"/>
  <c r="E73" i="4"/>
  <c r="E53" i="4"/>
  <c r="E33" i="4"/>
  <c r="E62" i="4"/>
  <c r="E28" i="4"/>
  <c r="E18" i="4"/>
  <c r="E67" i="4"/>
  <c r="E57" i="4"/>
  <c r="E23" i="4"/>
  <c r="E72" i="4"/>
  <c r="E52" i="4"/>
  <c r="E32" i="4"/>
  <c r="E22" i="4"/>
  <c r="E64" i="4"/>
  <c r="E54" i="4"/>
  <c r="E61" i="4"/>
  <c r="E27" i="4"/>
  <c r="E66" i="4"/>
  <c r="E71" i="4"/>
  <c r="E31" i="4"/>
  <c r="E69" i="4"/>
  <c r="E56" i="4"/>
  <c r="E25" i="4"/>
  <c r="E60" i="4"/>
  <c r="E26" i="4"/>
  <c r="E74" i="4"/>
  <c r="E24" i="4"/>
  <c r="E65" i="4"/>
  <c r="E55" i="4"/>
  <c r="E21" i="4"/>
  <c r="E59" i="4"/>
  <c r="E70" i="4"/>
  <c r="E30" i="4"/>
  <c r="E20" i="4"/>
  <c r="E29" i="4"/>
  <c r="E58" i="4"/>
  <c r="F56" i="4"/>
  <c r="E53" i="3"/>
  <c r="E39" i="3"/>
  <c r="E29" i="3"/>
  <c r="E48" i="3"/>
  <c r="E57" i="3"/>
  <c r="E43" i="3"/>
  <c r="E44" i="3"/>
  <c r="E20" i="3"/>
  <c r="E52" i="3"/>
  <c r="E28" i="3"/>
  <c r="E18" i="3"/>
  <c r="E32" i="3"/>
  <c r="E49" i="3"/>
  <c r="E61" i="3"/>
  <c r="E47" i="3"/>
  <c r="E37" i="3"/>
  <c r="E42" i="3"/>
  <c r="E27" i="3"/>
  <c r="E59" i="3"/>
  <c r="E56" i="3"/>
  <c r="E45" i="3"/>
  <c r="E34" i="3"/>
  <c r="E60" i="3"/>
  <c r="E46" i="3"/>
  <c r="E58" i="3"/>
  <c r="E55" i="3"/>
  <c r="E41" i="3"/>
  <c r="E31" i="3"/>
  <c r="E54" i="3"/>
  <c r="E50" i="3"/>
  <c r="E26" i="3"/>
  <c r="E35" i="3"/>
  <c r="E40" i="3"/>
  <c r="E25" i="3"/>
  <c r="E30" i="3"/>
  <c r="E81" i="6"/>
  <c r="E76" i="6"/>
  <c r="E85" i="6"/>
  <c r="E80" i="6"/>
  <c r="E21" i="6"/>
  <c r="E84" i="6"/>
  <c r="E82" i="6"/>
  <c r="E77" i="6"/>
  <c r="E79" i="6"/>
  <c r="E83" i="6"/>
  <c r="E78" i="6"/>
  <c r="F37" i="5"/>
  <c r="F49" i="4"/>
  <c r="N242" i="15"/>
  <c r="T242" i="15" s="1"/>
  <c r="V242" i="15" s="1"/>
  <c r="N302" i="15"/>
  <c r="T302" i="15" s="1"/>
  <c r="V302" i="15" s="1"/>
  <c r="D166" i="11"/>
  <c r="C194" i="11"/>
  <c r="E169" i="11"/>
  <c r="F236" i="11"/>
  <c r="E139" i="11"/>
  <c r="K186" i="11"/>
  <c r="I126" i="11"/>
  <c r="I187" i="11"/>
  <c r="I256" i="11"/>
  <c r="K196" i="11"/>
  <c r="E134" i="11"/>
  <c r="J201" i="11"/>
  <c r="F138" i="11"/>
  <c r="J205" i="11"/>
  <c r="I146" i="11"/>
  <c r="G238" i="11"/>
  <c r="J215" i="11"/>
  <c r="K154" i="11"/>
  <c r="K239" i="11"/>
  <c r="I132" i="11"/>
  <c r="F213" i="11"/>
  <c r="K243" i="11"/>
  <c r="C183" i="11"/>
  <c r="I215" i="11"/>
  <c r="F242" i="11"/>
  <c r="K141" i="11"/>
  <c r="J177" i="11"/>
  <c r="I244" i="11"/>
  <c r="I153" i="11"/>
  <c r="H222" i="11"/>
  <c r="C253" i="11"/>
  <c r="H157" i="11"/>
  <c r="K194" i="11"/>
  <c r="J233" i="11"/>
  <c r="I174" i="11"/>
  <c r="K211" i="11"/>
  <c r="G140" i="11"/>
  <c r="I171" i="11"/>
  <c r="G201" i="11"/>
  <c r="C236" i="11"/>
  <c r="H132" i="11"/>
  <c r="G169" i="11"/>
  <c r="C204" i="11"/>
  <c r="J234" i="11"/>
  <c r="N5" i="15"/>
  <c r="T5" i="15" s="1"/>
  <c r="V5" i="15" s="1"/>
  <c r="H20" i="15"/>
  <c r="F12" i="15"/>
  <c r="O12" i="15" s="1"/>
  <c r="I61" i="15"/>
  <c r="K61" i="15" s="1"/>
  <c r="G45" i="15"/>
  <c r="C137" i="11"/>
  <c r="F165" i="11"/>
  <c r="G190" i="11"/>
  <c r="G216" i="11"/>
  <c r="G13" i="15"/>
  <c r="J25" i="15"/>
  <c r="N25" i="15" s="1"/>
  <c r="T25" i="15" s="1"/>
  <c r="D132" i="11"/>
  <c r="J235" i="11"/>
  <c r="C259" i="11"/>
  <c r="J46" i="15"/>
  <c r="N46" i="15" s="1"/>
  <c r="T46" i="15" s="1"/>
  <c r="V46" i="15" s="1"/>
  <c r="F137" i="11"/>
  <c r="F163" i="11"/>
  <c r="I185" i="11"/>
  <c r="C233" i="11"/>
  <c r="F256" i="11"/>
  <c r="G67" i="15"/>
  <c r="L67" i="15" s="1"/>
  <c r="K138" i="11"/>
  <c r="J165" i="11"/>
  <c r="F244" i="11"/>
  <c r="I27" i="15"/>
  <c r="K27" i="15" s="1"/>
  <c r="O27" i="15" s="1"/>
  <c r="I86" i="15"/>
  <c r="K86" i="15" s="1"/>
  <c r="H41" i="15"/>
  <c r="F73" i="15"/>
  <c r="L73" i="15" s="1"/>
  <c r="I109" i="15"/>
  <c r="K109" i="15" s="1"/>
  <c r="H157" i="15"/>
  <c r="M114" i="15"/>
  <c r="Q114" i="15" s="1"/>
  <c r="S114" i="15" s="1"/>
  <c r="J107" i="15"/>
  <c r="N107" i="15" s="1"/>
  <c r="T107" i="15" s="1"/>
  <c r="V107" i="15" s="1"/>
  <c r="F78" i="15"/>
  <c r="O78" i="15" s="1"/>
  <c r="M59" i="15"/>
  <c r="Q59" i="15" s="1"/>
  <c r="S59" i="15" s="1"/>
  <c r="J84" i="15"/>
  <c r="N84" i="15" s="1"/>
  <c r="T84" i="15" s="1"/>
  <c r="J85" i="15"/>
  <c r="N85" i="15" s="1"/>
  <c r="T85" i="15" s="1"/>
  <c r="G111" i="15"/>
  <c r="J163" i="15"/>
  <c r="N163" i="15" s="1"/>
  <c r="T163" i="15" s="1"/>
  <c r="F139" i="15"/>
  <c r="L139" i="15" s="1"/>
  <c r="I95" i="15"/>
  <c r="K95" i="15" s="1"/>
  <c r="H126" i="15"/>
  <c r="L126" i="15" s="1"/>
  <c r="F13" i="15"/>
  <c r="O13" i="15" s="1"/>
  <c r="P13" i="15" s="1"/>
  <c r="M136" i="15"/>
  <c r="Q136" i="15" s="1"/>
  <c r="S136" i="15" s="1"/>
  <c r="G177" i="15"/>
  <c r="H129" i="15"/>
  <c r="L129" i="15" s="1"/>
  <c r="J137" i="15"/>
  <c r="N137" i="15" s="1"/>
  <c r="T137" i="15" s="1"/>
  <c r="V137" i="15" s="1"/>
  <c r="H198" i="15"/>
  <c r="I198" i="15"/>
  <c r="K198" i="15" s="1"/>
  <c r="I140" i="15"/>
  <c r="K140" i="15" s="1"/>
  <c r="J193" i="15"/>
  <c r="N193" i="15" s="1"/>
  <c r="T193" i="15" s="1"/>
  <c r="V193" i="15" s="1"/>
  <c r="J170" i="15"/>
  <c r="N170" i="15" s="1"/>
  <c r="T170" i="15" s="1"/>
  <c r="V170" i="15" s="1"/>
  <c r="G169" i="15"/>
  <c r="L169" i="15" s="1"/>
  <c r="F127" i="15"/>
  <c r="O127" i="15" s="1"/>
  <c r="M175" i="15"/>
  <c r="Q175" i="15" s="1"/>
  <c r="S175" i="15" s="1"/>
  <c r="H128" i="15"/>
  <c r="J168" i="15"/>
  <c r="G186" i="15"/>
  <c r="G109" i="15"/>
  <c r="F203" i="15"/>
  <c r="H231" i="15"/>
  <c r="L231" i="15" s="1"/>
  <c r="F219" i="15"/>
  <c r="O219" i="15" s="1"/>
  <c r="M109" i="15"/>
  <c r="Q109" i="15" s="1"/>
  <c r="S109" i="15" s="1"/>
  <c r="F217" i="15"/>
  <c r="L217" i="15" s="1"/>
  <c r="G184" i="15"/>
  <c r="L184" i="15" s="1"/>
  <c r="M223" i="15"/>
  <c r="Q223" i="15" s="1"/>
  <c r="S223" i="15" s="1"/>
  <c r="I235" i="15"/>
  <c r="K235" i="15" s="1"/>
  <c r="F212" i="15"/>
  <c r="O212" i="15" s="1"/>
  <c r="J318" i="15"/>
  <c r="N318" i="15" s="1"/>
  <c r="T318" i="15" s="1"/>
  <c r="V318" i="15" s="1"/>
  <c r="F314" i="15"/>
  <c r="H328" i="15"/>
  <c r="G326" i="15"/>
  <c r="J329" i="15"/>
  <c r="N329" i="15" s="1"/>
  <c r="T329" i="15" s="1"/>
  <c r="M326" i="15"/>
  <c r="Q326" i="15" s="1"/>
  <c r="S326" i="15" s="1"/>
  <c r="F35" i="5"/>
  <c r="F23" i="7"/>
  <c r="F61" i="3"/>
  <c r="F27" i="3"/>
  <c r="F46" i="4"/>
  <c r="F67" i="2"/>
  <c r="F50" i="6"/>
  <c r="D293" i="9"/>
  <c r="D255" i="11" s="1"/>
  <c r="F23" i="5"/>
  <c r="F35" i="4"/>
  <c r="E50" i="7"/>
  <c r="E24" i="7"/>
  <c r="E18" i="7"/>
  <c r="E39" i="7"/>
  <c r="E29" i="7"/>
  <c r="E54" i="7"/>
  <c r="E44" i="7"/>
  <c r="E33" i="7"/>
  <c r="E23" i="7"/>
  <c r="E32" i="7"/>
  <c r="E48" i="7"/>
  <c r="E38" i="7"/>
  <c r="E53" i="7"/>
  <c r="E43" i="7"/>
  <c r="E27" i="7"/>
  <c r="E55" i="7"/>
  <c r="E45" i="7"/>
  <c r="E47" i="7"/>
  <c r="E37" i="7"/>
  <c r="E21" i="7"/>
  <c r="E35" i="7"/>
  <c r="E52" i="7"/>
  <c r="E42" i="7"/>
  <c r="E26" i="7"/>
  <c r="E51" i="7"/>
  <c r="E31" i="7"/>
  <c r="E46" i="7"/>
  <c r="E36" i="7"/>
  <c r="E20" i="7"/>
  <c r="E41" i="7"/>
  <c r="E25" i="7"/>
  <c r="E30" i="7"/>
  <c r="F48" i="7"/>
  <c r="F47" i="3"/>
  <c r="F53" i="2"/>
  <c r="F22" i="4"/>
  <c r="F43" i="2"/>
  <c r="F24" i="5"/>
  <c r="F50" i="4"/>
  <c r="F28" i="5"/>
  <c r="F70" i="4"/>
  <c r="E26" i="5"/>
  <c r="E21" i="5"/>
  <c r="E35" i="5"/>
  <c r="E30" i="5"/>
  <c r="E25" i="5"/>
  <c r="E24" i="5"/>
  <c r="E34" i="5"/>
  <c r="E20" i="5"/>
  <c r="E29" i="5"/>
  <c r="E27" i="5"/>
  <c r="E22" i="5"/>
  <c r="E33" i="5"/>
  <c r="E28" i="5"/>
  <c r="E18" i="5"/>
  <c r="E37" i="5"/>
  <c r="E23" i="5"/>
  <c r="E32" i="5"/>
  <c r="E36" i="5"/>
  <c r="E31" i="5"/>
  <c r="F46" i="7"/>
  <c r="F25" i="4"/>
  <c r="F62" i="4"/>
  <c r="F85" i="6"/>
  <c r="F38" i="7"/>
  <c r="F37" i="3"/>
  <c r="F33" i="2"/>
  <c r="F53" i="7"/>
  <c r="F56" i="3"/>
  <c r="F23" i="1"/>
  <c r="F71" i="4"/>
  <c r="F18" i="5"/>
  <c r="F40" i="4"/>
  <c r="F36" i="7"/>
  <c r="D288" i="9"/>
  <c r="D250" i="11" s="1"/>
  <c r="F38" i="4"/>
  <c r="F28" i="4"/>
  <c r="F18" i="4"/>
  <c r="F48" i="3"/>
  <c r="F24" i="3"/>
  <c r="F64" i="2"/>
  <c r="F40" i="2"/>
  <c r="F30" i="2"/>
  <c r="F30" i="1"/>
  <c r="F56" i="6"/>
  <c r="F42" i="6"/>
  <c r="F47" i="4"/>
  <c r="F57" i="3"/>
  <c r="F43" i="3"/>
  <c r="F59" i="2"/>
  <c r="F49" i="2"/>
  <c r="F55" i="2"/>
  <c r="F45" i="2"/>
  <c r="F54" i="7"/>
  <c r="F44" i="7"/>
  <c r="F76" i="6"/>
  <c r="F66" i="6"/>
  <c r="F30" i="5"/>
  <c r="F67" i="4"/>
  <c r="F57" i="4"/>
  <c r="F23" i="4"/>
  <c r="F33" i="3"/>
  <c r="F27" i="6"/>
  <c r="F25" i="5"/>
  <c r="F72" i="4"/>
  <c r="F52" i="4"/>
  <c r="F42" i="4"/>
  <c r="F32" i="4"/>
  <c r="F52" i="3"/>
  <c r="F28" i="3"/>
  <c r="F18" i="3"/>
  <c r="F54" i="2"/>
  <c r="F44" i="2"/>
  <c r="F34" i="2"/>
  <c r="F24" i="2"/>
  <c r="F34" i="1"/>
  <c r="F21" i="8" s="1"/>
  <c r="F24" i="1"/>
  <c r="F39" i="3"/>
  <c r="F36" i="3"/>
  <c r="F62" i="2"/>
  <c r="F72" i="6"/>
  <c r="F31" i="1"/>
  <c r="F44" i="3"/>
  <c r="F22" i="3"/>
  <c r="F20" i="4"/>
  <c r="F48" i="4"/>
  <c r="F52" i="6"/>
  <c r="F56" i="2"/>
  <c r="F26" i="2"/>
  <c r="F36" i="1"/>
  <c r="F22" i="8" s="1"/>
  <c r="F48" i="6"/>
  <c r="F69" i="4"/>
  <c r="F39" i="4"/>
  <c r="F24" i="7"/>
  <c r="F46" i="3"/>
  <c r="F38" i="2"/>
  <c r="F40" i="3"/>
  <c r="F82" i="6"/>
  <c r="F65" i="2"/>
  <c r="F57" i="6"/>
  <c r="F58" i="4"/>
  <c r="F18" i="7"/>
  <c r="F27" i="1"/>
  <c r="F29" i="6"/>
  <c r="F24" i="6"/>
  <c r="F36" i="5"/>
  <c r="F22" i="5"/>
  <c r="F36" i="2"/>
  <c r="F50" i="7"/>
  <c r="F33" i="4"/>
  <c r="F53" i="3"/>
  <c r="F32" i="1"/>
  <c r="F19" i="8" s="1"/>
  <c r="F63" i="6"/>
  <c r="F53" i="6"/>
  <c r="F27" i="5"/>
  <c r="F74" i="4"/>
  <c r="F54" i="4"/>
  <c r="F46" i="2"/>
  <c r="F29" i="4"/>
  <c r="F49" i="3"/>
  <c r="F41" i="2"/>
  <c r="F31" i="2"/>
  <c r="F77" i="6"/>
  <c r="F24" i="4"/>
  <c r="F58" i="3"/>
  <c r="F39" i="6"/>
  <c r="F64" i="4"/>
  <c r="F44" i="4"/>
  <c r="F54" i="3"/>
  <c r="F30" i="3"/>
  <c r="F26" i="1"/>
  <c r="F25" i="3"/>
  <c r="F20" i="3"/>
  <c r="F60" i="2"/>
  <c r="F25" i="2"/>
  <c r="F35" i="1"/>
  <c r="F25" i="1"/>
  <c r="F30" i="7"/>
  <c r="F34" i="6"/>
  <c r="F67" i="6"/>
  <c r="F43" i="6"/>
  <c r="F31" i="5"/>
  <c r="F50" i="2"/>
  <c r="F38" i="6"/>
  <c r="F53" i="4"/>
  <c r="F43" i="4"/>
  <c r="F29" i="3"/>
  <c r="F55" i="7"/>
  <c r="F45" i="7"/>
  <c r="F35" i="7"/>
  <c r="F34" i="3"/>
  <c r="F28" i="6"/>
  <c r="F26" i="5"/>
  <c r="F73" i="4"/>
  <c r="F80" i="6"/>
  <c r="F23" i="3"/>
  <c r="F23" i="2"/>
  <c r="F43" i="7"/>
  <c r="F42" i="3"/>
  <c r="F21" i="7"/>
  <c r="F31" i="4"/>
  <c r="F65" i="4"/>
  <c r="F30" i="4"/>
  <c r="F20" i="7"/>
  <c r="F45" i="3"/>
  <c r="O110" i="15"/>
  <c r="M84" i="15"/>
  <c r="Q84" i="15" s="1"/>
  <c r="S84" i="15" s="1"/>
  <c r="M36" i="15"/>
  <c r="Q36" i="15" s="1"/>
  <c r="S36" i="15" s="1"/>
  <c r="M39" i="15"/>
  <c r="Q39" i="15" s="1"/>
  <c r="S39" i="15" s="1"/>
  <c r="I97" i="15"/>
  <c r="K97" i="15" s="1"/>
  <c r="J69" i="15"/>
  <c r="N8" i="15"/>
  <c r="T8" i="15" s="1"/>
  <c r="V8" i="15" s="1"/>
  <c r="J31" i="15"/>
  <c r="N31" i="15" s="1"/>
  <c r="T31" i="15" s="1"/>
  <c r="V31" i="15" s="1"/>
  <c r="N4" i="15"/>
  <c r="T4" i="15" s="1"/>
  <c r="V4" i="15" s="1"/>
  <c r="I35" i="15"/>
  <c r="K35" i="15" s="1"/>
  <c r="F42" i="15"/>
  <c r="L42" i="15" s="1"/>
  <c r="I14" i="15"/>
  <c r="K14" i="15" s="1"/>
  <c r="O14" i="15" s="1"/>
  <c r="G31" i="15"/>
  <c r="L31" i="15" s="1"/>
  <c r="H14" i="15"/>
  <c r="L14" i="15" s="1"/>
  <c r="I79" i="15"/>
  <c r="K79" i="15" s="1"/>
  <c r="J16" i="15"/>
  <c r="N16" i="15" s="1"/>
  <c r="T16" i="15" s="1"/>
  <c r="V16" i="15" s="1"/>
  <c r="L30" i="15"/>
  <c r="O30" i="15"/>
  <c r="M43" i="15"/>
  <c r="Q43" i="15" s="1"/>
  <c r="S43" i="15" s="1"/>
  <c r="H91" i="15"/>
  <c r="L91" i="15" s="1"/>
  <c r="G14" i="15"/>
  <c r="G72" i="15"/>
  <c r="H25" i="15"/>
  <c r="L25" i="15" s="1"/>
  <c r="G68" i="15"/>
  <c r="L68" i="15" s="1"/>
  <c r="M18" i="15"/>
  <c r="Q18" i="15" s="1"/>
  <c r="S18" i="15" s="1"/>
  <c r="N288" i="15"/>
  <c r="T288" i="15" s="1"/>
  <c r="V288" i="15" s="1"/>
  <c r="J223" i="11"/>
  <c r="K157" i="11"/>
  <c r="C151" i="11"/>
  <c r="H215" i="11"/>
  <c r="G154" i="11"/>
  <c r="D126" i="11"/>
  <c r="I140" i="11"/>
  <c r="G208" i="11"/>
  <c r="J140" i="11"/>
  <c r="H225" i="11"/>
  <c r="K187" i="11"/>
  <c r="C141" i="11"/>
  <c r="H218" i="11"/>
  <c r="F153" i="11"/>
  <c r="F222" i="11"/>
  <c r="G153" i="11"/>
  <c r="J230" i="11"/>
  <c r="C181" i="11"/>
  <c r="H254" i="11"/>
  <c r="G210" i="11"/>
  <c r="I239" i="11"/>
  <c r="F175" i="11"/>
  <c r="H259" i="11"/>
  <c r="C200" i="11"/>
  <c r="F148" i="11"/>
  <c r="H184" i="11"/>
  <c r="I223" i="11"/>
  <c r="E254" i="11"/>
  <c r="F191" i="11"/>
  <c r="K223" i="11"/>
  <c r="H250" i="11"/>
  <c r="J151" i="11"/>
  <c r="C185" i="11"/>
  <c r="I258" i="11"/>
  <c r="G196" i="11"/>
  <c r="K229" i="11"/>
  <c r="D129" i="11"/>
  <c r="K168" i="11"/>
  <c r="C203" i="11"/>
  <c r="C241" i="11"/>
  <c r="G185" i="11"/>
  <c r="C221" i="11"/>
  <c r="G251" i="11"/>
  <c r="H149" i="11"/>
  <c r="K209" i="11"/>
  <c r="F243" i="11"/>
  <c r="K140" i="11"/>
  <c r="I180" i="11"/>
  <c r="C242" i="11"/>
  <c r="H53" i="15"/>
  <c r="J52" i="15"/>
  <c r="N52" i="15" s="1"/>
  <c r="T52" i="15" s="1"/>
  <c r="F61" i="15"/>
  <c r="O61" i="15" s="1"/>
  <c r="I50" i="15"/>
  <c r="K50" i="15" s="1"/>
  <c r="I21" i="15"/>
  <c r="K21" i="15" s="1"/>
  <c r="M98" i="15"/>
  <c r="Q98" i="15" s="1"/>
  <c r="S98" i="15" s="1"/>
  <c r="J61" i="15"/>
  <c r="N61" i="15" s="1"/>
  <c r="T61" i="15" s="1"/>
  <c r="V61" i="15" s="1"/>
  <c r="H143" i="11"/>
  <c r="K171" i="11"/>
  <c r="F198" i="11"/>
  <c r="F224" i="11"/>
  <c r="C249" i="11"/>
  <c r="F44" i="15"/>
  <c r="I44" i="15"/>
  <c r="K44" i="15" s="1"/>
  <c r="C140" i="11"/>
  <c r="H165" i="11"/>
  <c r="F194" i="11"/>
  <c r="I216" i="11"/>
  <c r="J242" i="11"/>
  <c r="F15" i="15"/>
  <c r="O15" i="15" s="1"/>
  <c r="J71" i="15"/>
  <c r="K143" i="11"/>
  <c r="K169" i="11"/>
  <c r="C193" i="11"/>
  <c r="C219" i="11"/>
  <c r="I238" i="11"/>
  <c r="F16" i="15"/>
  <c r="O16" i="15" s="1"/>
  <c r="P16" i="15" s="1"/>
  <c r="J96" i="15"/>
  <c r="N96" i="15" s="1"/>
  <c r="T96" i="15" s="1"/>
  <c r="I147" i="11"/>
  <c r="H174" i="11"/>
  <c r="C201" i="11"/>
  <c r="K250" i="11"/>
  <c r="H37" i="15"/>
  <c r="L37" i="15" s="1"/>
  <c r="G112" i="15"/>
  <c r="M112" i="15"/>
  <c r="Q112" i="15" s="1"/>
  <c r="S112" i="15" s="1"/>
  <c r="M16" i="15"/>
  <c r="Q16" i="15" s="1"/>
  <c r="S16" i="15" s="1"/>
  <c r="I88" i="15"/>
  <c r="K88" i="15" s="1"/>
  <c r="H29" i="15"/>
  <c r="J51" i="15"/>
  <c r="F111" i="15"/>
  <c r="L111" i="15" s="1"/>
  <c r="F109" i="15"/>
  <c r="H90" i="15"/>
  <c r="L90" i="15" s="1"/>
  <c r="J101" i="15"/>
  <c r="N101" i="15" s="1"/>
  <c r="T101" i="15" s="1"/>
  <c r="V101" i="15" s="1"/>
  <c r="F128" i="15"/>
  <c r="O128" i="15" s="1"/>
  <c r="J145" i="15"/>
  <c r="N145" i="15" s="1"/>
  <c r="T145" i="15" s="1"/>
  <c r="V145" i="15" s="1"/>
  <c r="H81" i="15"/>
  <c r="L81" i="15" s="1"/>
  <c r="J131" i="15"/>
  <c r="N131" i="15" s="1"/>
  <c r="T131" i="15" s="1"/>
  <c r="V131" i="15" s="1"/>
  <c r="H136" i="15"/>
  <c r="G146" i="15"/>
  <c r="L146" i="15" s="1"/>
  <c r="F41" i="15"/>
  <c r="O41" i="15" s="1"/>
  <c r="M190" i="15"/>
  <c r="Q190" i="15" s="1"/>
  <c r="S190" i="15" s="1"/>
  <c r="G88" i="15"/>
  <c r="F157" i="15"/>
  <c r="O157" i="15" s="1"/>
  <c r="J172" i="15"/>
  <c r="H123" i="15"/>
  <c r="I149" i="15"/>
  <c r="K149" i="15" s="1"/>
  <c r="J152" i="15"/>
  <c r="N152" i="15" s="1"/>
  <c r="T152" i="15" s="1"/>
  <c r="H108" i="15"/>
  <c r="F101" i="15"/>
  <c r="J216" i="15"/>
  <c r="N216" i="15" s="1"/>
  <c r="T216" i="15" s="1"/>
  <c r="I157" i="15"/>
  <c r="K157" i="15" s="1"/>
  <c r="H195" i="15"/>
  <c r="F170" i="15"/>
  <c r="F190" i="15"/>
  <c r="O190" i="15" s="1"/>
  <c r="I186" i="15"/>
  <c r="K186" i="15" s="1"/>
  <c r="J142" i="15"/>
  <c r="N142" i="15" s="1"/>
  <c r="T142" i="15" s="1"/>
  <c r="V142" i="15" s="1"/>
  <c r="J222" i="15"/>
  <c r="M157" i="15"/>
  <c r="Q157" i="15" s="1"/>
  <c r="S157" i="15" s="1"/>
  <c r="I188" i="15"/>
  <c r="K188" i="15" s="1"/>
  <c r="M123" i="15"/>
  <c r="Q123" i="15" s="1"/>
  <c r="S123" i="15" s="1"/>
  <c r="M221" i="15"/>
  <c r="Q221" i="15" s="1"/>
  <c r="S221" i="15" s="1"/>
  <c r="I226" i="15"/>
  <c r="K226" i="15" s="1"/>
  <c r="J219" i="15"/>
  <c r="N219" i="15" s="1"/>
  <c r="T219" i="15" s="1"/>
  <c r="V219" i="15" s="1"/>
  <c r="G200" i="15"/>
  <c r="G316" i="15"/>
  <c r="L316" i="15" s="1"/>
  <c r="G319" i="15"/>
  <c r="J306" i="15"/>
  <c r="F319" i="15"/>
  <c r="J323" i="15"/>
  <c r="J332" i="15"/>
  <c r="N332" i="15" s="1"/>
  <c r="T332" i="15" s="1"/>
  <c r="V332" i="15" s="1"/>
  <c r="F51" i="6"/>
  <c r="F70" i="6"/>
  <c r="F63" i="2"/>
  <c r="F33" i="1"/>
  <c r="F20" i="8" s="1"/>
  <c r="F27" i="7"/>
  <c r="F32" i="3"/>
  <c r="F79" i="6"/>
  <c r="F51" i="3"/>
  <c r="F55" i="4"/>
  <c r="F50" i="3"/>
  <c r="F78" i="6"/>
  <c r="F35" i="3"/>
  <c r="F25" i="7"/>
  <c r="F39" i="7"/>
  <c r="F37" i="6"/>
  <c r="F60" i="6"/>
  <c r="F39" i="2"/>
  <c r="F45" i="6"/>
  <c r="F52" i="7"/>
  <c r="F45" i="4"/>
  <c r="F31" i="7"/>
  <c r="F26" i="3"/>
  <c r="F21" i="3"/>
  <c r="L3" i="15"/>
  <c r="O3" i="15"/>
  <c r="L72" i="15"/>
  <c r="H162" i="11"/>
  <c r="G139" i="11"/>
  <c r="E204" i="11"/>
  <c r="F208" i="11"/>
  <c r="J136" i="11"/>
  <c r="J148" i="11"/>
  <c r="G221" i="11"/>
  <c r="K152" i="11"/>
  <c r="F233" i="11"/>
  <c r="H201" i="11"/>
  <c r="H230" i="11"/>
  <c r="C165" i="11"/>
  <c r="I230" i="11"/>
  <c r="H161" i="11"/>
  <c r="C238" i="11"/>
  <c r="K193" i="11"/>
  <c r="J131" i="11"/>
  <c r="G223" i="11"/>
  <c r="I251" i="11"/>
  <c r="G186" i="11"/>
  <c r="J132" i="11"/>
  <c r="F232" i="11"/>
  <c r="J154" i="11"/>
  <c r="C188" i="11"/>
  <c r="H126" i="11"/>
  <c r="J158" i="11"/>
  <c r="J197" i="11"/>
  <c r="J227" i="11"/>
  <c r="G254" i="11"/>
  <c r="I155" i="11"/>
  <c r="I194" i="11"/>
  <c r="C228" i="11"/>
  <c r="H131" i="11"/>
  <c r="J168" i="11"/>
  <c r="D201" i="11"/>
  <c r="G235" i="11"/>
  <c r="G133" i="11"/>
  <c r="G211" i="11"/>
  <c r="K244" i="11"/>
  <c r="D190" i="11"/>
  <c r="K224" i="11"/>
  <c r="F255" i="11"/>
  <c r="J183" i="11"/>
  <c r="F216" i="11"/>
  <c r="J249" i="11"/>
  <c r="G146" i="11"/>
  <c r="G184" i="11"/>
  <c r="J219" i="11"/>
  <c r="K245" i="11"/>
  <c r="F65" i="15"/>
  <c r="O65" i="15" s="1"/>
  <c r="H65" i="15"/>
  <c r="H80" i="15"/>
  <c r="L80" i="15" s="1"/>
  <c r="M53" i="15"/>
  <c r="Q53" i="15" s="1"/>
  <c r="S53" i="15" s="1"/>
  <c r="F23" i="15"/>
  <c r="J114" i="15"/>
  <c r="N114" i="15" s="1"/>
  <c r="T114" i="15" s="1"/>
  <c r="M95" i="15"/>
  <c r="Q95" i="15" s="1"/>
  <c r="S95" i="15" s="1"/>
  <c r="I148" i="11"/>
  <c r="H175" i="11"/>
  <c r="C202" i="11"/>
  <c r="K251" i="11"/>
  <c r="H47" i="15"/>
  <c r="L47" i="15" s="1"/>
  <c r="H57" i="15"/>
  <c r="L57" i="15" s="1"/>
  <c r="J143" i="11"/>
  <c r="J169" i="11"/>
  <c r="J221" i="11"/>
  <c r="H245" i="11"/>
  <c r="H26" i="15"/>
  <c r="L26" i="15" s="1"/>
  <c r="P26" i="15" s="1"/>
  <c r="G92" i="15"/>
  <c r="L92" i="15" s="1"/>
  <c r="H147" i="11"/>
  <c r="G174" i="11"/>
  <c r="K195" i="11"/>
  <c r="K221" i="11"/>
  <c r="G241" i="11"/>
  <c r="J24" i="15"/>
  <c r="N24" i="15" s="1"/>
  <c r="T24" i="15" s="1"/>
  <c r="V24" i="15" s="1"/>
  <c r="J103" i="15"/>
  <c r="F151" i="11"/>
  <c r="J178" i="11"/>
  <c r="K203" i="11"/>
  <c r="F230" i="11"/>
  <c r="I253" i="11"/>
  <c r="G41" i="15"/>
  <c r="J159" i="15"/>
  <c r="N159" i="15" s="1"/>
  <c r="T159" i="15" s="1"/>
  <c r="V159" i="15" s="1"/>
  <c r="J18" i="15"/>
  <c r="N18" i="15" s="1"/>
  <c r="T18" i="15" s="1"/>
  <c r="V18" i="15" s="1"/>
  <c r="J100" i="15"/>
  <c r="N100" i="15" s="1"/>
  <c r="T100" i="15" s="1"/>
  <c r="V100" i="15" s="1"/>
  <c r="G44" i="15"/>
  <c r="F59" i="15"/>
  <c r="O59" i="15" s="1"/>
  <c r="G127" i="15"/>
  <c r="H145" i="15"/>
  <c r="H101" i="15"/>
  <c r="J116" i="15"/>
  <c r="G94" i="15"/>
  <c r="L94" i="15" s="1"/>
  <c r="F168" i="15"/>
  <c r="L168" i="15" s="1"/>
  <c r="M94" i="15"/>
  <c r="Q94" i="15" s="1"/>
  <c r="S94" i="15" s="1"/>
  <c r="F142" i="15"/>
  <c r="L142" i="15" s="1"/>
  <c r="M155" i="15"/>
  <c r="Q155" i="15" s="1"/>
  <c r="S155" i="15" s="1"/>
  <c r="J164" i="15"/>
  <c r="N164" i="15" s="1"/>
  <c r="T164" i="15" s="1"/>
  <c r="H60" i="15"/>
  <c r="L60" i="15" s="1"/>
  <c r="G198" i="15"/>
  <c r="F100" i="15"/>
  <c r="J214" i="15"/>
  <c r="N214" i="15" s="1"/>
  <c r="T214" i="15" s="1"/>
  <c r="V214" i="15" s="1"/>
  <c r="I192" i="15"/>
  <c r="K192" i="15" s="1"/>
  <c r="F135" i="15"/>
  <c r="L135" i="15" s="1"/>
  <c r="H152" i="15"/>
  <c r="F155" i="15"/>
  <c r="L155" i="15" s="1"/>
  <c r="J135" i="15"/>
  <c r="N135" i="15" s="1"/>
  <c r="T135" i="15" s="1"/>
  <c r="V135" i="15" s="1"/>
  <c r="F116" i="15"/>
  <c r="O116" i="15" s="1"/>
  <c r="M216" i="15"/>
  <c r="Q216" i="15" s="1"/>
  <c r="S216" i="15" s="1"/>
  <c r="H164" i="15"/>
  <c r="J223" i="15"/>
  <c r="N223" i="15" s="1"/>
  <c r="T223" i="15" s="1"/>
  <c r="V223" i="15" s="1"/>
  <c r="H213" i="15"/>
  <c r="L213" i="15" s="1"/>
  <c r="I225" i="15"/>
  <c r="K225" i="15" s="1"/>
  <c r="H206" i="15"/>
  <c r="L206" i="15" s="1"/>
  <c r="G151" i="15"/>
  <c r="I200" i="15"/>
  <c r="K200" i="15" s="1"/>
  <c r="F188" i="15"/>
  <c r="O188" i="15" s="1"/>
  <c r="M201" i="15"/>
  <c r="Q201" i="15" s="1"/>
  <c r="S201" i="15" s="1"/>
  <c r="M130" i="15"/>
  <c r="Q130" i="15" s="1"/>
  <c r="S130" i="15" s="1"/>
  <c r="G226" i="15"/>
  <c r="F234" i="15"/>
  <c r="I177" i="15"/>
  <c r="K177" i="15" s="1"/>
  <c r="H219" i="15"/>
  <c r="L219" i="15" s="1"/>
  <c r="H310" i="15"/>
  <c r="L310" i="15" s="1"/>
  <c r="I306" i="15"/>
  <c r="K306" i="15" s="1"/>
  <c r="F315" i="15"/>
  <c r="O315" i="15" s="1"/>
  <c r="F308" i="15"/>
  <c r="O308" i="15" s="1"/>
  <c r="P308" i="15" s="1"/>
  <c r="I328" i="15"/>
  <c r="K328" i="15" s="1"/>
  <c r="J326" i="15"/>
  <c r="N326" i="15" s="1"/>
  <c r="T326" i="15" s="1"/>
  <c r="V326" i="15" s="1"/>
  <c r="F29" i="7"/>
  <c r="F46" i="6"/>
  <c r="F29" i="1"/>
  <c r="F47" i="7"/>
  <c r="F65" i="6"/>
  <c r="F58" i="2"/>
  <c r="F69" i="6"/>
  <c r="F60" i="3"/>
  <c r="F42" i="7"/>
  <c r="F21" i="4"/>
  <c r="F83" i="6"/>
  <c r="F66" i="2"/>
  <c r="F68" i="6"/>
  <c r="F61" i="2"/>
  <c r="E136" i="11"/>
  <c r="F214" i="11"/>
  <c r="I246" i="11"/>
  <c r="I196" i="11"/>
  <c r="H226" i="11"/>
  <c r="D257" i="11"/>
  <c r="C156" i="11"/>
  <c r="K185" i="11"/>
  <c r="F219" i="11"/>
  <c r="H251" i="11"/>
  <c r="E148" i="11"/>
  <c r="I221" i="11"/>
  <c r="F248" i="11"/>
  <c r="H69" i="15"/>
  <c r="L69" i="15" s="1"/>
  <c r="I69" i="15"/>
  <c r="K69" i="15" s="1"/>
  <c r="M85" i="15"/>
  <c r="Q85" i="15" s="1"/>
  <c r="S85" i="15" s="1"/>
  <c r="G59" i="15"/>
  <c r="F45" i="15"/>
  <c r="L45" i="15" s="1"/>
  <c r="J105" i="15"/>
  <c r="N105" i="15" s="1"/>
  <c r="T105" i="15" s="1"/>
  <c r="V105" i="15" s="1"/>
  <c r="F152" i="11"/>
  <c r="F178" i="11"/>
  <c r="G203" i="11"/>
  <c r="H228" i="11"/>
  <c r="E253" i="11"/>
  <c r="M49" i="15"/>
  <c r="Q49" i="15" s="1"/>
  <c r="S49" i="15" s="1"/>
  <c r="M60" i="15"/>
  <c r="Q60" i="15" s="1"/>
  <c r="S60" i="15" s="1"/>
  <c r="C146" i="11"/>
  <c r="C172" i="11"/>
  <c r="H198" i="11"/>
  <c r="E249" i="11"/>
  <c r="G27" i="15"/>
  <c r="H96" i="15"/>
  <c r="L96" i="15" s="1"/>
  <c r="K175" i="11"/>
  <c r="K242" i="11"/>
  <c r="H27" i="15"/>
  <c r="F112" i="15"/>
  <c r="J152" i="11"/>
  <c r="E205" i="11"/>
  <c r="J231" i="11"/>
  <c r="C255" i="11"/>
  <c r="M44" i="15"/>
  <c r="Q44" i="15" s="1"/>
  <c r="S44" i="15" s="1"/>
  <c r="G19" i="15"/>
  <c r="I103" i="15"/>
  <c r="K103" i="15" s="1"/>
  <c r="M46" i="15"/>
  <c r="Q46" i="15" s="1"/>
  <c r="S46" i="15" s="1"/>
  <c r="G74" i="15"/>
  <c r="L74" i="15" s="1"/>
  <c r="J132" i="15"/>
  <c r="N132" i="15" s="1"/>
  <c r="T132" i="15" s="1"/>
  <c r="V132" i="15" s="1"/>
  <c r="I125" i="15"/>
  <c r="K125" i="15" s="1"/>
  <c r="F106" i="15"/>
  <c r="M100" i="15"/>
  <c r="Q100" i="15" s="1"/>
  <c r="S100" i="15" s="1"/>
  <c r="I174" i="15"/>
  <c r="K174" i="15" s="1"/>
  <c r="F95" i="15"/>
  <c r="M156" i="15"/>
  <c r="Q156" i="15" s="1"/>
  <c r="S156" i="15" s="1"/>
  <c r="F164" i="15"/>
  <c r="O164" i="15" s="1"/>
  <c r="M173" i="15"/>
  <c r="Q173" i="15" s="1"/>
  <c r="S173" i="15" s="1"/>
  <c r="F71" i="15"/>
  <c r="O71" i="15" s="1"/>
  <c r="F205" i="15"/>
  <c r="L205" i="15" s="1"/>
  <c r="G114" i="15"/>
  <c r="F185" i="15"/>
  <c r="L185" i="15" s="1"/>
  <c r="G195" i="15"/>
  <c r="J147" i="15"/>
  <c r="N147" i="15" s="1"/>
  <c r="T147" i="15" s="1"/>
  <c r="V147" i="15" s="1"/>
  <c r="F154" i="15"/>
  <c r="O154" i="15" s="1"/>
  <c r="F159" i="15"/>
  <c r="O159" i="15" s="1"/>
  <c r="F141" i="15"/>
  <c r="H130" i="15"/>
  <c r="L130" i="15" s="1"/>
  <c r="J230" i="15"/>
  <c r="N230" i="15" s="1"/>
  <c r="T230" i="15" s="1"/>
  <c r="V230" i="15" s="1"/>
  <c r="H175" i="15"/>
  <c r="H188" i="15"/>
  <c r="L188" i="15" s="1"/>
  <c r="F222" i="15"/>
  <c r="O222" i="15" s="1"/>
  <c r="I228" i="15"/>
  <c r="K228" i="15" s="1"/>
  <c r="M220" i="15"/>
  <c r="Q220" i="15" s="1"/>
  <c r="S220" i="15" s="1"/>
  <c r="M184" i="15"/>
  <c r="Q184" i="15" s="1"/>
  <c r="S184" i="15" s="1"/>
  <c r="H201" i="15"/>
  <c r="J202" i="15"/>
  <c r="N202" i="15" s="1"/>
  <c r="T202" i="15" s="1"/>
  <c r="V202" i="15" s="1"/>
  <c r="J210" i="15"/>
  <c r="N210" i="15" s="1"/>
  <c r="T210" i="15" s="1"/>
  <c r="V210" i="15" s="1"/>
  <c r="G136" i="15"/>
  <c r="H226" i="15"/>
  <c r="L226" i="15" s="1"/>
  <c r="M198" i="15"/>
  <c r="Q198" i="15" s="1"/>
  <c r="S198" i="15" s="1"/>
  <c r="J200" i="15"/>
  <c r="M231" i="15"/>
  <c r="Q231" i="15" s="1"/>
  <c r="S231" i="15" s="1"/>
  <c r="G314" i="15"/>
  <c r="G315" i="15"/>
  <c r="M316" i="15"/>
  <c r="Q316" i="15" s="1"/>
  <c r="S316" i="15" s="1"/>
  <c r="J319" i="15"/>
  <c r="H308" i="15"/>
  <c r="F329" i="15"/>
  <c r="O329" i="15" s="1"/>
  <c r="F81" i="6"/>
  <c r="E52" i="6"/>
  <c r="E38" i="6"/>
  <c r="E61" i="6"/>
  <c r="E47" i="6"/>
  <c r="E33" i="6"/>
  <c r="E19" i="6"/>
  <c r="E56" i="6"/>
  <c r="E42" i="6"/>
  <c r="E57" i="6"/>
  <c r="E51" i="6"/>
  <c r="E37" i="6"/>
  <c r="E43" i="6"/>
  <c r="E60" i="6"/>
  <c r="E46" i="6"/>
  <c r="E41" i="6"/>
  <c r="E55" i="6"/>
  <c r="E50" i="6"/>
  <c r="E48" i="6"/>
  <c r="E36" i="6"/>
  <c r="E34" i="6"/>
  <c r="E59" i="6"/>
  <c r="E45" i="6"/>
  <c r="E54" i="6"/>
  <c r="E40" i="6"/>
  <c r="E58" i="6"/>
  <c r="E53" i="6"/>
  <c r="E49" i="6"/>
  <c r="E35" i="6"/>
  <c r="E44" i="6"/>
  <c r="E39" i="6"/>
  <c r="F37" i="7"/>
  <c r="F55" i="6"/>
  <c r="F48" i="2"/>
  <c r="F26" i="7"/>
  <c r="F55" i="3"/>
  <c r="F73" i="6"/>
  <c r="F42" i="2"/>
  <c r="F58" i="6"/>
  <c r="F51" i="2"/>
  <c r="J153" i="11"/>
  <c r="J179" i="11"/>
  <c r="K204" i="11"/>
  <c r="F231" i="11"/>
  <c r="I254" i="11"/>
  <c r="J89" i="15"/>
  <c r="N89" i="15" s="1"/>
  <c r="T89" i="15" s="1"/>
  <c r="V89" i="15" s="1"/>
  <c r="I71" i="15"/>
  <c r="K71" i="15" s="1"/>
  <c r="G147" i="11"/>
  <c r="F174" i="11"/>
  <c r="K200" i="11"/>
  <c r="H224" i="11"/>
  <c r="I250" i="11"/>
  <c r="F29" i="15"/>
  <c r="O29" i="15" s="1"/>
  <c r="F99" i="15"/>
  <c r="O99" i="15" s="1"/>
  <c r="I152" i="11"/>
  <c r="I198" i="11"/>
  <c r="I224" i="11"/>
  <c r="G29" i="15"/>
  <c r="E127" i="11"/>
  <c r="H181" i="11"/>
  <c r="I206" i="11"/>
  <c r="G256" i="11"/>
  <c r="F55" i="15"/>
  <c r="L55" i="15" s="1"/>
  <c r="M27" i="15"/>
  <c r="Q27" i="15" s="1"/>
  <c r="S27" i="15" s="1"/>
  <c r="G52" i="15"/>
  <c r="L52" i="15" s="1"/>
  <c r="H110" i="15"/>
  <c r="L110" i="15" s="1"/>
  <c r="I47" i="15"/>
  <c r="K47" i="15" s="1"/>
  <c r="O47" i="15" s="1"/>
  <c r="F98" i="15"/>
  <c r="L98" i="15" s="1"/>
  <c r="G145" i="15"/>
  <c r="F176" i="15"/>
  <c r="I116" i="15"/>
  <c r="K116" i="15" s="1"/>
  <c r="M41" i="15"/>
  <c r="Q41" i="15" s="1"/>
  <c r="S41" i="15" s="1"/>
  <c r="F102" i="15"/>
  <c r="M128" i="15"/>
  <c r="Q128" i="15" s="1"/>
  <c r="S128" i="15" s="1"/>
  <c r="M105" i="15"/>
  <c r="Q105" i="15" s="1"/>
  <c r="S105" i="15" s="1"/>
  <c r="I173" i="15"/>
  <c r="K173" i="15" s="1"/>
  <c r="J173" i="15"/>
  <c r="J122" i="15"/>
  <c r="N122" i="15" s="1"/>
  <c r="T122" i="15" s="1"/>
  <c r="V122" i="15" s="1"/>
  <c r="M81" i="15"/>
  <c r="Q81" i="15" s="1"/>
  <c r="S81" i="15" s="1"/>
  <c r="F114" i="15"/>
  <c r="L114" i="15" s="1"/>
  <c r="H115" i="15"/>
  <c r="L115" i="15" s="1"/>
  <c r="J102" i="15"/>
  <c r="N102" i="15" s="1"/>
  <c r="T102" i="15" s="1"/>
  <c r="V102" i="15" s="1"/>
  <c r="G209" i="15"/>
  <c r="L209" i="15" s="1"/>
  <c r="H149" i="15"/>
  <c r="L149" i="15" s="1"/>
  <c r="I161" i="15"/>
  <c r="K161" i="15" s="1"/>
  <c r="F160" i="15"/>
  <c r="O160" i="15" s="1"/>
  <c r="P160" i="15" s="1"/>
  <c r="M149" i="15"/>
  <c r="Q149" i="15" s="1"/>
  <c r="S149" i="15" s="1"/>
  <c r="F136" i="15"/>
  <c r="F175" i="15"/>
  <c r="J176" i="15"/>
  <c r="N176" i="15" s="1"/>
  <c r="T176" i="15" s="1"/>
  <c r="V176" i="15" s="1"/>
  <c r="J192" i="15"/>
  <c r="N192" i="15" s="1"/>
  <c r="T192" i="15" s="1"/>
  <c r="V192" i="15" s="1"/>
  <c r="I168" i="15"/>
  <c r="K168" i="15" s="1"/>
  <c r="F232" i="15"/>
  <c r="L232" i="15" s="1"/>
  <c r="M217" i="15"/>
  <c r="Q217" i="15" s="1"/>
  <c r="S217" i="15" s="1"/>
  <c r="H186" i="15"/>
  <c r="L186" i="15" s="1"/>
  <c r="G202" i="15"/>
  <c r="L202" i="15" s="1"/>
  <c r="H210" i="15"/>
  <c r="L210" i="15" s="1"/>
  <c r="F218" i="15"/>
  <c r="O218" i="15" s="1"/>
  <c r="M137" i="15"/>
  <c r="Q137" i="15" s="1"/>
  <c r="S137" i="15" s="1"/>
  <c r="F228" i="15"/>
  <c r="L228" i="15" s="1"/>
  <c r="M202" i="15"/>
  <c r="Q202" i="15" s="1"/>
  <c r="S202" i="15" s="1"/>
  <c r="M203" i="15"/>
  <c r="Q203" i="15" s="1"/>
  <c r="S203" i="15" s="1"/>
  <c r="M212" i="15"/>
  <c r="Q212" i="15" s="1"/>
  <c r="S212" i="15" s="1"/>
  <c r="F321" i="15"/>
  <c r="O321" i="15" s="1"/>
  <c r="H317" i="15"/>
  <c r="H331" i="15"/>
  <c r="L331" i="15" s="1"/>
  <c r="H321" i="15"/>
  <c r="M319" i="15"/>
  <c r="Q319" i="15" s="1"/>
  <c r="S319" i="15" s="1"/>
  <c r="H333" i="15"/>
  <c r="L333" i="15" s="1"/>
  <c r="F71" i="6"/>
  <c r="F34" i="5"/>
  <c r="F59" i="6"/>
  <c r="F41" i="6"/>
  <c r="F28" i="2"/>
  <c r="F33" i="5"/>
  <c r="F41" i="3"/>
  <c r="F57" i="2"/>
  <c r="F32" i="2"/>
  <c r="F44" i="6"/>
  <c r="F37" i="2"/>
  <c r="N199" i="15"/>
  <c r="T199" i="15" s="1"/>
  <c r="V199" i="15" s="1"/>
  <c r="L180" i="15"/>
  <c r="I182" i="15"/>
  <c r="K182" i="15" s="1"/>
  <c r="G152" i="15"/>
  <c r="G105" i="15"/>
  <c r="L105" i="15" s="1"/>
  <c r="G138" i="15"/>
  <c r="L138" i="15" s="1"/>
  <c r="F171" i="15"/>
  <c r="O171" i="15" s="1"/>
  <c r="M148" i="15"/>
  <c r="Q148" i="15" s="1"/>
  <c r="S148" i="15" s="1"/>
  <c r="G166" i="15"/>
  <c r="L166" i="15" s="1"/>
  <c r="G119" i="15"/>
  <c r="L119" i="15" s="1"/>
  <c r="J83" i="15"/>
  <c r="N83" i="15" s="1"/>
  <c r="T83" i="15" s="1"/>
  <c r="G51" i="15"/>
  <c r="L51" i="15" s="1"/>
  <c r="O23" i="15"/>
  <c r="L23" i="15"/>
  <c r="I118" i="15"/>
  <c r="K118" i="15" s="1"/>
  <c r="J113" i="15"/>
  <c r="N113" i="15" s="1"/>
  <c r="T113" i="15" s="1"/>
  <c r="F113" i="15"/>
  <c r="L113" i="15" s="1"/>
  <c r="I80" i="15"/>
  <c r="K80" i="15" s="1"/>
  <c r="M21" i="15"/>
  <c r="Q21" i="15" s="1"/>
  <c r="S21" i="15" s="1"/>
  <c r="G97" i="15"/>
  <c r="L97" i="15" s="1"/>
  <c r="M63" i="15"/>
  <c r="Q63" i="15" s="1"/>
  <c r="S63" i="15" s="1"/>
  <c r="M57" i="15"/>
  <c r="Q57" i="15" s="1"/>
  <c r="S57" i="15" s="1"/>
  <c r="O18" i="15"/>
  <c r="L18" i="15"/>
  <c r="J32" i="15"/>
  <c r="N32" i="15" s="1"/>
  <c r="T32" i="15" s="1"/>
  <c r="V32" i="15" s="1"/>
  <c r="J76" i="15"/>
  <c r="N76" i="15" s="1"/>
  <c r="T76" i="15" s="1"/>
  <c r="V76" i="15" s="1"/>
  <c r="H66" i="15"/>
  <c r="L66" i="15" s="1"/>
  <c r="I42" i="15"/>
  <c r="K42" i="15" s="1"/>
  <c r="F39" i="15"/>
  <c r="O39" i="15" s="1"/>
  <c r="G28" i="15"/>
  <c r="L28" i="15" s="1"/>
  <c r="I91" i="15"/>
  <c r="K91" i="15" s="1"/>
  <c r="L64" i="15"/>
  <c r="N239" i="15"/>
  <c r="T239" i="15" s="1"/>
  <c r="V239" i="15" s="1"/>
  <c r="L254" i="15"/>
  <c r="P254" i="15" s="1"/>
  <c r="N252" i="15"/>
  <c r="T252" i="15" s="1"/>
  <c r="V252" i="15" s="1"/>
  <c r="N255" i="15"/>
  <c r="T255" i="15" s="1"/>
  <c r="C251" i="11"/>
  <c r="G191" i="11"/>
  <c r="C186" i="11"/>
  <c r="F206" i="11"/>
  <c r="F190" i="11"/>
  <c r="C152" i="11"/>
  <c r="G232" i="11"/>
  <c r="I163" i="11"/>
  <c r="I236" i="11"/>
  <c r="H167" i="11"/>
  <c r="J256" i="11"/>
  <c r="G218" i="11"/>
  <c r="I172" i="11"/>
  <c r="H177" i="11"/>
  <c r="C254" i="11"/>
  <c r="I177" i="11"/>
  <c r="F254" i="11"/>
  <c r="C210" i="11"/>
  <c r="I157" i="11"/>
  <c r="I242" i="11"/>
  <c r="G132" i="11"/>
  <c r="C211" i="11"/>
  <c r="C148" i="11"/>
  <c r="D248" i="11"/>
  <c r="I195" i="11"/>
  <c r="K234" i="11"/>
  <c r="K132" i="11"/>
  <c r="E166" i="11"/>
  <c r="F204" i="11"/>
  <c r="K126" i="11"/>
  <c r="K163" i="11"/>
  <c r="K202" i="11"/>
  <c r="H233" i="11"/>
  <c r="J139" i="11"/>
  <c r="C243" i="11"/>
  <c r="I144" i="11"/>
  <c r="K181" i="11"/>
  <c r="I222" i="11"/>
  <c r="F251" i="11"/>
  <c r="F201" i="11"/>
  <c r="C230" i="11"/>
  <c r="H127" i="11"/>
  <c r="K159" i="11"/>
  <c r="E190" i="11"/>
  <c r="K222" i="11"/>
  <c r="G255" i="11"/>
  <c r="G156" i="11"/>
  <c r="I193" i="11"/>
  <c r="F225" i="11"/>
  <c r="F252" i="11"/>
  <c r="H88" i="15"/>
  <c r="L88" i="15" s="1"/>
  <c r="G78" i="15"/>
  <c r="L78" i="15" s="1"/>
  <c r="H100" i="15"/>
  <c r="L100" i="15" s="1"/>
  <c r="H61" i="15"/>
  <c r="L61" i="15" s="1"/>
  <c r="J50" i="15"/>
  <c r="N50" i="15" s="1"/>
  <c r="T50" i="15" s="1"/>
  <c r="H12" i="15"/>
  <c r="L12" i="15" s="1"/>
  <c r="L126" i="11"/>
  <c r="E206" i="11"/>
  <c r="J232" i="11"/>
  <c r="C256" i="11"/>
  <c r="F108" i="15"/>
  <c r="O108" i="15" s="1"/>
  <c r="H77" i="15"/>
  <c r="L77" i="15" s="1"/>
  <c r="K148" i="11"/>
  <c r="J175" i="11"/>
  <c r="E202" i="11"/>
  <c r="F227" i="11"/>
  <c r="C252" i="11"/>
  <c r="G34" i="15"/>
  <c r="F131" i="15"/>
  <c r="L131" i="15" s="1"/>
  <c r="C154" i="11"/>
  <c r="I178" i="11"/>
  <c r="F202" i="11"/>
  <c r="C226" i="11"/>
  <c r="I245" i="11"/>
  <c r="H34" i="15"/>
  <c r="I128" i="11"/>
  <c r="H155" i="11"/>
  <c r="F184" i="11"/>
  <c r="F210" i="11"/>
  <c r="H234" i="11"/>
  <c r="K257" i="11"/>
  <c r="I56" i="15"/>
  <c r="K56" i="15" s="1"/>
  <c r="M34" i="15"/>
  <c r="Q34" i="15" s="1"/>
  <c r="S34" i="15" s="1"/>
  <c r="J54" i="15"/>
  <c r="N54" i="15" s="1"/>
  <c r="T54" i="15" s="1"/>
  <c r="V54" i="15" s="1"/>
  <c r="J112" i="15"/>
  <c r="N112" i="15" s="1"/>
  <c r="T112" i="15" s="1"/>
  <c r="I51" i="15"/>
  <c r="K51" i="15" s="1"/>
  <c r="M99" i="15"/>
  <c r="Q99" i="15" s="1"/>
  <c r="S99" i="15" s="1"/>
  <c r="H56" i="15"/>
  <c r="L56" i="15" s="1"/>
  <c r="J13" i="15"/>
  <c r="N13" i="15" s="1"/>
  <c r="T13" i="15" s="1"/>
  <c r="V13" i="15" s="1"/>
  <c r="J125" i="15"/>
  <c r="N125" i="15" s="1"/>
  <c r="T125" i="15" s="1"/>
  <c r="V125" i="15" s="1"/>
  <c r="F46" i="15"/>
  <c r="L46" i="15" s="1"/>
  <c r="H103" i="15"/>
  <c r="L103" i="15" s="1"/>
  <c r="I143" i="15"/>
  <c r="K143" i="15" s="1"/>
  <c r="M106" i="15"/>
  <c r="Q106" i="15" s="1"/>
  <c r="S106" i="15" s="1"/>
  <c r="I179" i="15"/>
  <c r="K179" i="15" s="1"/>
  <c r="J175" i="15"/>
  <c r="N175" i="15" s="1"/>
  <c r="T175" i="15" s="1"/>
  <c r="V175" i="15" s="1"/>
  <c r="J126" i="15"/>
  <c r="N126" i="15" s="1"/>
  <c r="T126" i="15" s="1"/>
  <c r="V126" i="15" s="1"/>
  <c r="G85" i="15"/>
  <c r="L85" i="15" s="1"/>
  <c r="I117" i="15"/>
  <c r="K117" i="15" s="1"/>
  <c r="H116" i="15"/>
  <c r="L116" i="15" s="1"/>
  <c r="F107" i="15"/>
  <c r="F123" i="15"/>
  <c r="O123" i="15" s="1"/>
  <c r="F151" i="15"/>
  <c r="L151" i="15" s="1"/>
  <c r="J178" i="15"/>
  <c r="N178" i="15" s="1"/>
  <c r="T178" i="15" s="1"/>
  <c r="V178" i="15" s="1"/>
  <c r="J161" i="15"/>
  <c r="N161" i="15" s="1"/>
  <c r="T161" i="15" s="1"/>
  <c r="V161" i="15" s="1"/>
  <c r="J151" i="15"/>
  <c r="N151" i="15" s="1"/>
  <c r="T151" i="15" s="1"/>
  <c r="G141" i="15"/>
  <c r="G176" i="15"/>
  <c r="M177" i="15"/>
  <c r="Q177" i="15" s="1"/>
  <c r="S177" i="15" s="1"/>
  <c r="J207" i="15"/>
  <c r="N207" i="15" s="1"/>
  <c r="T207" i="15" s="1"/>
  <c r="V207" i="15" s="1"/>
  <c r="G170" i="15"/>
  <c r="G179" i="15"/>
  <c r="L179" i="15" s="1"/>
  <c r="F223" i="15"/>
  <c r="L223" i="15" s="1"/>
  <c r="I191" i="15"/>
  <c r="K191" i="15" s="1"/>
  <c r="I203" i="15"/>
  <c r="K203" i="15" s="1"/>
  <c r="J212" i="15"/>
  <c r="N212" i="15" s="1"/>
  <c r="T212" i="15" s="1"/>
  <c r="V212" i="15" s="1"/>
  <c r="H220" i="15"/>
  <c r="L220" i="15" s="1"/>
  <c r="H154" i="15"/>
  <c r="L154" i="15" s="1"/>
  <c r="G230" i="15"/>
  <c r="L230" i="15" s="1"/>
  <c r="G203" i="15"/>
  <c r="F216" i="15"/>
  <c r="L216" i="15" s="1"/>
  <c r="I217" i="15"/>
  <c r="K217" i="15" s="1"/>
  <c r="M308" i="15"/>
  <c r="Q308" i="15" s="1"/>
  <c r="S308" i="15" s="1"/>
  <c r="H315" i="15"/>
  <c r="J331" i="15"/>
  <c r="N331" i="15" s="1"/>
  <c r="T331" i="15" s="1"/>
  <c r="I323" i="15"/>
  <c r="K323" i="15" s="1"/>
  <c r="G332" i="15"/>
  <c r="M328" i="15"/>
  <c r="Q328" i="15" s="1"/>
  <c r="S328" i="15" s="1"/>
  <c r="F61" i="6"/>
  <c r="F20" i="5"/>
  <c r="F31" i="6"/>
  <c r="F36" i="6"/>
  <c r="F60" i="4"/>
  <c r="F64" i="6"/>
  <c r="F31" i="3"/>
  <c r="F47" i="2"/>
  <c r="F49" i="6"/>
  <c r="F22" i="2"/>
  <c r="F20" i="6"/>
  <c r="E97" i="8"/>
  <c r="E92" i="8"/>
  <c r="E96" i="8"/>
  <c r="E91" i="8"/>
  <c r="E95" i="8"/>
  <c r="E90" i="8"/>
  <c r="E93" i="8"/>
  <c r="E94" i="8"/>
  <c r="E19" i="8"/>
  <c r="F47" i="6"/>
  <c r="F61" i="4"/>
  <c r="F21" i="6"/>
  <c r="F26" i="6"/>
  <c r="F36" i="4"/>
  <c r="F32" i="7"/>
  <c r="F54" i="6"/>
  <c r="F27" i="2"/>
  <c r="F35" i="6"/>
  <c r="F32" i="5"/>
  <c r="F51" i="7"/>
  <c r="N201" i="15"/>
  <c r="T201" i="15" s="1"/>
  <c r="V201" i="15" s="1"/>
  <c r="H189" i="15"/>
  <c r="L189" i="15" s="1"/>
  <c r="M234" i="15"/>
  <c r="Q234" i="15" s="1"/>
  <c r="S234" i="15" s="1"/>
  <c r="I213" i="15"/>
  <c r="K213" i="15" s="1"/>
  <c r="H191" i="15"/>
  <c r="L191" i="15" s="1"/>
  <c r="G234" i="15"/>
  <c r="H200" i="15"/>
  <c r="L200" i="15" s="1"/>
  <c r="H212" i="15"/>
  <c r="L212" i="15" s="1"/>
  <c r="M222" i="15"/>
  <c r="Q222" i="15" s="1"/>
  <c r="S222" i="15" s="1"/>
  <c r="G101" i="15"/>
  <c r="J174" i="15"/>
  <c r="J156" i="15"/>
  <c r="N156" i="15" s="1"/>
  <c r="T156" i="15" s="1"/>
  <c r="V156" i="15" s="1"/>
  <c r="H218" i="15"/>
  <c r="G236" i="15"/>
  <c r="H234" i="15"/>
  <c r="G306" i="15"/>
  <c r="L306" i="15" s="1"/>
  <c r="I315" i="15"/>
  <c r="K315" i="15" s="1"/>
  <c r="F328" i="15"/>
  <c r="O328" i="15" s="1"/>
  <c r="I319" i="15"/>
  <c r="K319" i="15" s="1"/>
  <c r="H332" i="15"/>
  <c r="M332" i="15"/>
  <c r="Q332" i="15" s="1"/>
  <c r="S332" i="15" s="1"/>
  <c r="F33" i="6"/>
  <c r="F37" i="4"/>
  <c r="F29" i="5"/>
  <c r="F18" i="6"/>
  <c r="F26" i="4"/>
  <c r="F84" i="6"/>
  <c r="F40" i="6"/>
  <c r="F25" i="6"/>
  <c r="F41" i="7"/>
  <c r="L174" i="15"/>
  <c r="J67" i="15"/>
  <c r="N67" i="15" s="1"/>
  <c r="T67" i="15" s="1"/>
  <c r="J129" i="15"/>
  <c r="N129" i="15" s="1"/>
  <c r="T129" i="15" s="1"/>
  <c r="V129" i="15" s="1"/>
  <c r="G76" i="15"/>
  <c r="L76" i="15" s="1"/>
  <c r="F53" i="15"/>
  <c r="O53" i="15" s="1"/>
  <c r="I78" i="15"/>
  <c r="K78" i="15" s="1"/>
  <c r="H71" i="15"/>
  <c r="G106" i="15"/>
  <c r="H163" i="15"/>
  <c r="H127" i="15"/>
  <c r="L127" i="15" s="1"/>
  <c r="M86" i="15"/>
  <c r="Q86" i="15" s="1"/>
  <c r="S86" i="15" s="1"/>
  <c r="J95" i="15"/>
  <c r="N95" i="15" s="1"/>
  <c r="T95" i="15" s="1"/>
  <c r="V95" i="15" s="1"/>
  <c r="I146" i="15"/>
  <c r="K146" i="15" s="1"/>
  <c r="M122" i="15"/>
  <c r="Q122" i="15" s="1"/>
  <c r="S122" i="15" s="1"/>
  <c r="M154" i="15"/>
  <c r="Q154" i="15" s="1"/>
  <c r="S154" i="15" s="1"/>
  <c r="J130" i="15"/>
  <c r="N130" i="15" s="1"/>
  <c r="T130" i="15" s="1"/>
  <c r="V130" i="15" s="1"/>
  <c r="H122" i="15"/>
  <c r="L122" i="15" s="1"/>
  <c r="J162" i="15"/>
  <c r="N162" i="15" s="1"/>
  <c r="T162" i="15" s="1"/>
  <c r="M162" i="15"/>
  <c r="Q162" i="15" s="1"/>
  <c r="S162" i="15" s="1"/>
  <c r="M134" i="15"/>
  <c r="Q134" i="15" s="1"/>
  <c r="S134" i="15" s="1"/>
  <c r="H182" i="15"/>
  <c r="L182" i="15" s="1"/>
  <c r="H160" i="15"/>
  <c r="H159" i="15"/>
  <c r="M120" i="15"/>
  <c r="Q120" i="15" s="1"/>
  <c r="S120" i="15" s="1"/>
  <c r="G154" i="15"/>
  <c r="I215" i="15"/>
  <c r="K215" i="15" s="1"/>
  <c r="I222" i="15"/>
  <c r="K222" i="15" s="1"/>
  <c r="J225" i="15"/>
  <c r="N225" i="15" s="1"/>
  <c r="T225" i="15" s="1"/>
  <c r="V225" i="15" s="1"/>
  <c r="G95" i="15"/>
  <c r="G201" i="15"/>
  <c r="M213" i="15"/>
  <c r="Q213" i="15" s="1"/>
  <c r="S213" i="15" s="1"/>
  <c r="G224" i="15"/>
  <c r="M102" i="15"/>
  <c r="Q102" i="15" s="1"/>
  <c r="S102" i="15" s="1"/>
  <c r="H177" i="15"/>
  <c r="L177" i="15" s="1"/>
  <c r="F163" i="15"/>
  <c r="O163" i="15" s="1"/>
  <c r="M232" i="15"/>
  <c r="Q232" i="15" s="1"/>
  <c r="S232" i="15" s="1"/>
  <c r="G235" i="15"/>
  <c r="J203" i="15"/>
  <c r="N203" i="15" s="1"/>
  <c r="T203" i="15" s="1"/>
  <c r="V203" i="15" s="1"/>
  <c r="J308" i="15"/>
  <c r="N308" i="15" s="1"/>
  <c r="T308" i="15" s="1"/>
  <c r="V308" i="15" s="1"/>
  <c r="H305" i="15"/>
  <c r="L305" i="15" s="1"/>
  <c r="F317" i="15"/>
  <c r="O317" i="15" s="1"/>
  <c r="G321" i="15"/>
  <c r="M321" i="15"/>
  <c r="Q321" i="15" s="1"/>
  <c r="S321" i="15" s="1"/>
  <c r="I333" i="15"/>
  <c r="K333" i="15" s="1"/>
  <c r="F23" i="6"/>
  <c r="F27" i="4"/>
  <c r="F66" i="4"/>
  <c r="F41" i="4"/>
  <c r="F74" i="6"/>
  <c r="F30" i="6"/>
  <c r="E28" i="6"/>
  <c r="E23" i="6"/>
  <c r="E27" i="6"/>
  <c r="E31" i="6"/>
  <c r="E26" i="6"/>
  <c r="E18" i="6"/>
  <c r="E29" i="6"/>
  <c r="E30" i="6"/>
  <c r="E25" i="6"/>
  <c r="E24" i="6"/>
  <c r="F59" i="4"/>
  <c r="P165" i="15" l="1"/>
  <c r="P82" i="15"/>
  <c r="P132" i="15"/>
  <c r="L71" i="15"/>
  <c r="O100" i="15"/>
  <c r="P83" i="15"/>
  <c r="P14" i="15"/>
  <c r="P292" i="15"/>
  <c r="P89" i="15"/>
  <c r="P193" i="15"/>
  <c r="L152" i="15"/>
  <c r="L101" i="15"/>
  <c r="L145" i="15"/>
  <c r="P212" i="15"/>
  <c r="P127" i="15"/>
  <c r="P150" i="15"/>
  <c r="P244" i="15"/>
  <c r="L332" i="15"/>
  <c r="L99" i="15"/>
  <c r="L201" i="15"/>
  <c r="P188" i="15"/>
  <c r="P5" i="15"/>
  <c r="P265" i="15"/>
  <c r="P258" i="15"/>
  <c r="P197" i="15"/>
  <c r="L29" i="15"/>
  <c r="P71" i="15"/>
  <c r="L319" i="15"/>
  <c r="P158" i="15"/>
  <c r="P313" i="15"/>
  <c r="P23" i="15"/>
  <c r="P219" i="15"/>
  <c r="P309" i="15"/>
  <c r="P43" i="15"/>
  <c r="L218" i="15"/>
  <c r="P218" i="15" s="1"/>
  <c r="L15" i="15"/>
  <c r="L175" i="15"/>
  <c r="P11" i="15"/>
  <c r="P277" i="15"/>
  <c r="L234" i="15"/>
  <c r="P164" i="15"/>
  <c r="L164" i="15"/>
  <c r="P251" i="15"/>
  <c r="E24" i="11" s="1"/>
  <c r="F24" i="11" s="1"/>
  <c r="P4" i="15"/>
  <c r="P156" i="15"/>
  <c r="P312" i="15"/>
  <c r="P194" i="15"/>
  <c r="L159" i="15"/>
  <c r="L317" i="15"/>
  <c r="P317" i="15" s="1"/>
  <c r="N173" i="15"/>
  <c r="T173" i="15" s="1"/>
  <c r="V173" i="15" s="1"/>
  <c r="N200" i="15"/>
  <c r="T200" i="15" s="1"/>
  <c r="V200" i="15" s="1"/>
  <c r="L112" i="15"/>
  <c r="L65" i="15"/>
  <c r="O101" i="15"/>
  <c r="P61" i="15"/>
  <c r="D22" i="11"/>
  <c r="P22" i="15"/>
  <c r="L27" i="15"/>
  <c r="P27" i="15" s="1"/>
  <c r="P116" i="15"/>
  <c r="P291" i="15"/>
  <c r="P333" i="15"/>
  <c r="O175" i="15"/>
  <c r="L136" i="15"/>
  <c r="P154" i="15"/>
  <c r="N116" i="15"/>
  <c r="T116" i="15" s="1"/>
  <c r="L314" i="15"/>
  <c r="P325" i="15"/>
  <c r="P8" i="15"/>
  <c r="P208" i="15"/>
  <c r="P65" i="15"/>
  <c r="P159" i="15"/>
  <c r="P47" i="15"/>
  <c r="D21" i="9"/>
  <c r="O102" i="15"/>
  <c r="E257" i="9"/>
  <c r="E219" i="11" s="1"/>
  <c r="D257" i="9"/>
  <c r="D219" i="11" s="1"/>
  <c r="P15" i="15"/>
  <c r="P30" i="15"/>
  <c r="D244" i="9"/>
  <c r="E244" i="9"/>
  <c r="D233" i="9"/>
  <c r="D144" i="11" s="1"/>
  <c r="E233" i="9"/>
  <c r="E144" i="11" s="1"/>
  <c r="D326" i="9"/>
  <c r="E326" i="9"/>
  <c r="E333" i="9"/>
  <c r="D333" i="9"/>
  <c r="L128" i="15"/>
  <c r="P128" i="15" s="1"/>
  <c r="L41" i="15"/>
  <c r="P41" i="15" s="1"/>
  <c r="E163" i="9"/>
  <c r="E186" i="11" s="1"/>
  <c r="D163" i="9"/>
  <c r="D186" i="11" s="1"/>
  <c r="E140" i="9"/>
  <c r="E168" i="11" s="1"/>
  <c r="D140" i="9"/>
  <c r="D168" i="11" s="1"/>
  <c r="E180" i="9"/>
  <c r="D180" i="9"/>
  <c r="E220" i="9"/>
  <c r="E213" i="11" s="1"/>
  <c r="D220" i="9"/>
  <c r="D213" i="11" s="1"/>
  <c r="D218" i="9"/>
  <c r="D211" i="11" s="1"/>
  <c r="E218" i="9"/>
  <c r="E211" i="11" s="1"/>
  <c r="P226" i="15"/>
  <c r="O113" i="15"/>
  <c r="P113" i="15" s="1"/>
  <c r="P67" i="15"/>
  <c r="P129" i="15"/>
  <c r="P305" i="15"/>
  <c r="P322" i="15"/>
  <c r="P48" i="15"/>
  <c r="D30" i="11"/>
  <c r="R16" i="15"/>
  <c r="R17" i="15" s="1"/>
  <c r="R18" i="15" s="1"/>
  <c r="R19" i="15" s="1"/>
  <c r="R20" i="15" s="1"/>
  <c r="R21" i="15" s="1"/>
  <c r="R22" i="15" s="1"/>
  <c r="R23" i="15" s="1"/>
  <c r="R24" i="15" s="1"/>
  <c r="R25" i="15" s="1"/>
  <c r="R26" i="15" s="1"/>
  <c r="R27" i="15" s="1"/>
  <c r="R28" i="15" s="1"/>
  <c r="R29" i="15" s="1"/>
  <c r="R30" i="15" s="1"/>
  <c r="R31" i="15" s="1"/>
  <c r="R32" i="15" s="1"/>
  <c r="R33" i="15" s="1"/>
  <c r="R34" i="15" s="1"/>
  <c r="R35" i="15" s="1"/>
  <c r="R36" i="15" s="1"/>
  <c r="R37" i="15" s="1"/>
  <c r="R38" i="15" s="1"/>
  <c r="R39" i="15" s="1"/>
  <c r="R40" i="15" s="1"/>
  <c r="R41" i="15" s="1"/>
  <c r="R42" i="15" s="1"/>
  <c r="R43" i="15" s="1"/>
  <c r="R44" i="15" s="1"/>
  <c r="R45" i="15" s="1"/>
  <c r="R46" i="15" s="1"/>
  <c r="R47" i="15" s="1"/>
  <c r="R48" i="15" s="1"/>
  <c r="R49" i="15" s="1"/>
  <c r="R50" i="15" s="1"/>
  <c r="R51" i="15" s="1"/>
  <c r="R52" i="15" s="1"/>
  <c r="R53" i="15" s="1"/>
  <c r="R54" i="15" s="1"/>
  <c r="R55" i="15" s="1"/>
  <c r="R56" i="15" s="1"/>
  <c r="R57" i="15" s="1"/>
  <c r="R58" i="15" s="1"/>
  <c r="R59" i="15" s="1"/>
  <c r="R60" i="15" s="1"/>
  <c r="R61" i="15" s="1"/>
  <c r="R62" i="15" s="1"/>
  <c r="R63" i="15" s="1"/>
  <c r="R64" i="15" s="1"/>
  <c r="R65" i="15" s="1"/>
  <c r="R66" i="15" s="1"/>
  <c r="R67" i="15" s="1"/>
  <c r="R68" i="15" s="1"/>
  <c r="R69" i="15" s="1"/>
  <c r="R70" i="15" s="1"/>
  <c r="R71" i="15" s="1"/>
  <c r="R72" i="15" s="1"/>
  <c r="R73" i="15" s="1"/>
  <c r="R74" i="15" s="1"/>
  <c r="R75" i="15" s="1"/>
  <c r="R76" i="15" s="1"/>
  <c r="R77" i="15" s="1"/>
  <c r="R78" i="15" s="1"/>
  <c r="R79" i="15" s="1"/>
  <c r="R80" i="15" s="1"/>
  <c r="R81" i="15" s="1"/>
  <c r="R82" i="15" s="1"/>
  <c r="R83" i="15" s="1"/>
  <c r="R84" i="15" s="1"/>
  <c r="R85" i="15" s="1"/>
  <c r="R86" i="15" s="1"/>
  <c r="R87" i="15" s="1"/>
  <c r="R88" i="15" s="1"/>
  <c r="R89" i="15" s="1"/>
  <c r="R90" i="15" s="1"/>
  <c r="R91" i="15" s="1"/>
  <c r="R92" i="15" s="1"/>
  <c r="R93" i="15" s="1"/>
  <c r="R94" i="15" s="1"/>
  <c r="R95" i="15" s="1"/>
  <c r="R96" i="15" s="1"/>
  <c r="R97" i="15" s="1"/>
  <c r="R98" i="15" s="1"/>
  <c r="R99" i="15" s="1"/>
  <c r="R100" i="15" s="1"/>
  <c r="R101" i="15" s="1"/>
  <c r="R102" i="15" s="1"/>
  <c r="R103" i="15" s="1"/>
  <c r="R104" i="15" s="1"/>
  <c r="R105" i="15" s="1"/>
  <c r="R106" i="15" s="1"/>
  <c r="R107" i="15" s="1"/>
  <c r="R108" i="15" s="1"/>
  <c r="R109" i="15" s="1"/>
  <c r="R110" i="15" s="1"/>
  <c r="R111" i="15" s="1"/>
  <c r="R112" i="15" s="1"/>
  <c r="R113" i="15" s="1"/>
  <c r="R114" i="15" s="1"/>
  <c r="R115" i="15" s="1"/>
  <c r="R116" i="15" s="1"/>
  <c r="R117" i="15" s="1"/>
  <c r="R118" i="15" s="1"/>
  <c r="R119" i="15" s="1"/>
  <c r="R120" i="15" s="1"/>
  <c r="R121" i="15" s="1"/>
  <c r="R122" i="15" s="1"/>
  <c r="R123" i="15" s="1"/>
  <c r="R124" i="15" s="1"/>
  <c r="R125" i="15" s="1"/>
  <c r="R126" i="15" s="1"/>
  <c r="R127" i="15" s="1"/>
  <c r="R128" i="15" s="1"/>
  <c r="R129" i="15" s="1"/>
  <c r="R130" i="15" s="1"/>
  <c r="R131" i="15" s="1"/>
  <c r="R132" i="15" s="1"/>
  <c r="R133" i="15" s="1"/>
  <c r="R134" i="15" s="1"/>
  <c r="R135" i="15" s="1"/>
  <c r="R136" i="15" s="1"/>
  <c r="R137" i="15" s="1"/>
  <c r="R138" i="15" s="1"/>
  <c r="R139" i="15" s="1"/>
  <c r="R140" i="15" s="1"/>
  <c r="R141" i="15" s="1"/>
  <c r="R142" i="15" s="1"/>
  <c r="R143" i="15" s="1"/>
  <c r="R144" i="15" s="1"/>
  <c r="R145" i="15" s="1"/>
  <c r="R146" i="15" s="1"/>
  <c r="R147" i="15" s="1"/>
  <c r="R148" i="15" s="1"/>
  <c r="R149" i="15" s="1"/>
  <c r="R150" i="15" s="1"/>
  <c r="R151" i="15" s="1"/>
  <c r="R152" i="15" s="1"/>
  <c r="R153" i="15" s="1"/>
  <c r="R154" i="15" s="1"/>
  <c r="R155" i="15" s="1"/>
  <c r="R156" i="15" s="1"/>
  <c r="R157" i="15" s="1"/>
  <c r="R158" i="15" s="1"/>
  <c r="R159" i="15" s="1"/>
  <c r="R160" i="15" s="1"/>
  <c r="R161" i="15" s="1"/>
  <c r="R162" i="15" s="1"/>
  <c r="R163" i="15" s="1"/>
  <c r="R164" i="15" s="1"/>
  <c r="R165" i="15" s="1"/>
  <c r="R166" i="15" s="1"/>
  <c r="R167" i="15" s="1"/>
  <c r="R168" i="15" s="1"/>
  <c r="R169" i="15" s="1"/>
  <c r="R170" i="15" s="1"/>
  <c r="R171" i="15" s="1"/>
  <c r="R172" i="15" s="1"/>
  <c r="R173" i="15" s="1"/>
  <c r="R174" i="15" s="1"/>
  <c r="R175" i="15" s="1"/>
  <c r="R176" i="15" s="1"/>
  <c r="R177" i="15" s="1"/>
  <c r="R178" i="15" s="1"/>
  <c r="R179" i="15" s="1"/>
  <c r="R180" i="15" s="1"/>
  <c r="R181" i="15" s="1"/>
  <c r="R182" i="15" s="1"/>
  <c r="R183" i="15" s="1"/>
  <c r="R184" i="15" s="1"/>
  <c r="R185" i="15" s="1"/>
  <c r="R186" i="15" s="1"/>
  <c r="R187" i="15" s="1"/>
  <c r="R188" i="15" s="1"/>
  <c r="R189" i="15" s="1"/>
  <c r="R190" i="15" s="1"/>
  <c r="R191" i="15" s="1"/>
  <c r="R192" i="15" s="1"/>
  <c r="R193" i="15" s="1"/>
  <c r="R194" i="15" s="1"/>
  <c r="R195" i="15" s="1"/>
  <c r="R196" i="15" s="1"/>
  <c r="R197" i="15" s="1"/>
  <c r="R198" i="15" s="1"/>
  <c r="R199" i="15" s="1"/>
  <c r="R200" i="15" s="1"/>
  <c r="R201" i="15" s="1"/>
  <c r="R202" i="15" s="1"/>
  <c r="R203" i="15" s="1"/>
  <c r="R204" i="15" s="1"/>
  <c r="R205" i="15" s="1"/>
  <c r="R206" i="15" s="1"/>
  <c r="R207" i="15" s="1"/>
  <c r="R208" i="15" s="1"/>
  <c r="R209" i="15" s="1"/>
  <c r="R210" i="15" s="1"/>
  <c r="R211" i="15" s="1"/>
  <c r="R212" i="15" s="1"/>
  <c r="R213" i="15" s="1"/>
  <c r="R214" i="15" s="1"/>
  <c r="R215" i="15" s="1"/>
  <c r="R216" i="15" s="1"/>
  <c r="R217" i="15" s="1"/>
  <c r="R218" i="15" s="1"/>
  <c r="R219" i="15" s="1"/>
  <c r="R220" i="15" s="1"/>
  <c r="R221" i="15" s="1"/>
  <c r="R222" i="15" s="1"/>
  <c r="R223" i="15" s="1"/>
  <c r="R224" i="15" s="1"/>
  <c r="R225" i="15" s="1"/>
  <c r="R226" i="15" s="1"/>
  <c r="R227" i="15" s="1"/>
  <c r="R228" i="15" s="1"/>
  <c r="R229" i="15" s="1"/>
  <c r="R230" i="15" s="1"/>
  <c r="R231" i="15" s="1"/>
  <c r="R232" i="15" s="1"/>
  <c r="R233" i="15" s="1"/>
  <c r="R234" i="15" s="1"/>
  <c r="R235" i="15" s="1"/>
  <c r="R236" i="15" s="1"/>
  <c r="R237" i="15" s="1"/>
  <c r="R238" i="15" s="1"/>
  <c r="R239" i="15" s="1"/>
  <c r="R240" i="15" s="1"/>
  <c r="R241" i="15" s="1"/>
  <c r="R242" i="15" s="1"/>
  <c r="R243" i="15" s="1"/>
  <c r="R244" i="15" s="1"/>
  <c r="R245" i="15" s="1"/>
  <c r="R246" i="15" s="1"/>
  <c r="R247" i="15" s="1"/>
  <c r="R248" i="15" s="1"/>
  <c r="R249" i="15" s="1"/>
  <c r="R250" i="15" s="1"/>
  <c r="R251" i="15" s="1"/>
  <c r="R252" i="15" s="1"/>
  <c r="R253" i="15" s="1"/>
  <c r="R254" i="15" s="1"/>
  <c r="R255" i="15" s="1"/>
  <c r="R256" i="15" s="1"/>
  <c r="R257" i="15" s="1"/>
  <c r="R258" i="15" s="1"/>
  <c r="R259" i="15" s="1"/>
  <c r="R260" i="15" s="1"/>
  <c r="R261" i="15" s="1"/>
  <c r="R262" i="15" s="1"/>
  <c r="R263" i="15" s="1"/>
  <c r="R264" i="15" s="1"/>
  <c r="R265" i="15" s="1"/>
  <c r="R266" i="15" s="1"/>
  <c r="R267" i="15" s="1"/>
  <c r="R268" i="15" s="1"/>
  <c r="R269" i="15" s="1"/>
  <c r="R270" i="15" s="1"/>
  <c r="R271" i="15" s="1"/>
  <c r="R272" i="15" s="1"/>
  <c r="R273" i="15" s="1"/>
  <c r="R274" i="15" s="1"/>
  <c r="R275" i="15" s="1"/>
  <c r="R276" i="15" s="1"/>
  <c r="R277" i="15" s="1"/>
  <c r="R278" i="15" s="1"/>
  <c r="R279" i="15" s="1"/>
  <c r="R280" i="15" s="1"/>
  <c r="R281" i="15" s="1"/>
  <c r="R282" i="15" s="1"/>
  <c r="R283" i="15" s="1"/>
  <c r="R284" i="15" s="1"/>
  <c r="R285" i="15" s="1"/>
  <c r="R286" i="15" s="1"/>
  <c r="R287" i="15" s="1"/>
  <c r="R288" i="15" s="1"/>
  <c r="R289" i="15" s="1"/>
  <c r="R290" i="15" s="1"/>
  <c r="R291" i="15" s="1"/>
  <c r="R292" i="15" s="1"/>
  <c r="R293" i="15" s="1"/>
  <c r="R294" i="15" s="1"/>
  <c r="R295" i="15" s="1"/>
  <c r="R296" i="15" s="1"/>
  <c r="R297" i="15" s="1"/>
  <c r="R298" i="15" s="1"/>
  <c r="R299" i="15" s="1"/>
  <c r="R300" i="15" s="1"/>
  <c r="R301" i="15" s="1"/>
  <c r="R302" i="15" s="1"/>
  <c r="R303" i="15" s="1"/>
  <c r="R304" i="15" s="1"/>
  <c r="R305" i="15" s="1"/>
  <c r="R306" i="15" s="1"/>
  <c r="R307" i="15" s="1"/>
  <c r="R308" i="15" s="1"/>
  <c r="R309" i="15" s="1"/>
  <c r="R310" i="15" s="1"/>
  <c r="R311" i="15" s="1"/>
  <c r="R312" i="15" s="1"/>
  <c r="R313" i="15" s="1"/>
  <c r="R314" i="15" s="1"/>
  <c r="R315" i="15" s="1"/>
  <c r="R316" i="15" s="1"/>
  <c r="R317" i="15" s="1"/>
  <c r="R318" i="15" s="1"/>
  <c r="R319" i="15" s="1"/>
  <c r="R320" i="15" s="1"/>
  <c r="R321" i="15" s="1"/>
  <c r="R322" i="15" s="1"/>
  <c r="R323" i="15" s="1"/>
  <c r="R324" i="15" s="1"/>
  <c r="R325" i="15" s="1"/>
  <c r="R326" i="15" s="1"/>
  <c r="R327" i="15" s="1"/>
  <c r="R328" i="15" s="1"/>
  <c r="R329" i="15" s="1"/>
  <c r="R330" i="15" s="1"/>
  <c r="R331" i="15" s="1"/>
  <c r="R332" i="15" s="1"/>
  <c r="R333" i="15" s="1"/>
  <c r="O98" i="15"/>
  <c r="P98" i="15" s="1"/>
  <c r="N86" i="15"/>
  <c r="T86" i="15" s="1"/>
  <c r="P18" i="15"/>
  <c r="D113" i="11"/>
  <c r="E113" i="11"/>
  <c r="E259" i="9"/>
  <c r="E221" i="11" s="1"/>
  <c r="D259" i="9"/>
  <c r="D221" i="11" s="1"/>
  <c r="E256" i="9"/>
  <c r="E218" i="11" s="1"/>
  <c r="D256" i="9"/>
  <c r="D218" i="11" s="1"/>
  <c r="L141" i="15"/>
  <c r="P100" i="15"/>
  <c r="D336" i="9"/>
  <c r="E336" i="9"/>
  <c r="D343" i="9"/>
  <c r="E343" i="9"/>
  <c r="E303" i="9"/>
  <c r="D303" i="9"/>
  <c r="D166" i="9"/>
  <c r="E166" i="9"/>
  <c r="E171" i="9"/>
  <c r="E161" i="11" s="1"/>
  <c r="D171" i="9"/>
  <c r="D161" i="11" s="1"/>
  <c r="D182" i="9"/>
  <c r="E182" i="9"/>
  <c r="P294" i="15"/>
  <c r="N315" i="15"/>
  <c r="T315" i="15" s="1"/>
  <c r="P74" i="15"/>
  <c r="O136" i="15"/>
  <c r="P136" i="15" s="1"/>
  <c r="P284" i="15"/>
  <c r="P37" i="15"/>
  <c r="P249" i="15"/>
  <c r="L171" i="15"/>
  <c r="P171" i="15" s="1"/>
  <c r="Q335" i="15"/>
  <c r="H26" i="10" s="1"/>
  <c r="P187" i="15"/>
  <c r="P213" i="15"/>
  <c r="D271" i="9"/>
  <c r="D233" i="11" s="1"/>
  <c r="E271" i="9"/>
  <c r="E233" i="11" s="1"/>
  <c r="D270" i="9"/>
  <c r="D232" i="11" s="1"/>
  <c r="E270" i="9"/>
  <c r="E232" i="11" s="1"/>
  <c r="O106" i="15"/>
  <c r="L106" i="15"/>
  <c r="P101" i="15"/>
  <c r="D235" i="9"/>
  <c r="E235" i="9"/>
  <c r="E321" i="9"/>
  <c r="D321" i="9"/>
  <c r="E328" i="9"/>
  <c r="D328" i="9"/>
  <c r="D308" i="9"/>
  <c r="E308" i="9"/>
  <c r="E154" i="9"/>
  <c r="E178" i="11" s="1"/>
  <c r="D154" i="9"/>
  <c r="D178" i="11" s="1"/>
  <c r="E136" i="9"/>
  <c r="D136" i="9"/>
  <c r="E181" i="9"/>
  <c r="D181" i="9"/>
  <c r="D222" i="9"/>
  <c r="E222" i="9"/>
  <c r="E179" i="9"/>
  <c r="D179" i="9"/>
  <c r="O216" i="15"/>
  <c r="N146" i="15"/>
  <c r="T146" i="15" s="1"/>
  <c r="V146" i="15" s="1"/>
  <c r="P76" i="15"/>
  <c r="O185" i="15"/>
  <c r="P185" i="15" s="1"/>
  <c r="P152" i="15"/>
  <c r="P130" i="15"/>
  <c r="P97" i="15"/>
  <c r="O42" i="15"/>
  <c r="P42" i="15" s="1"/>
  <c r="O96" i="15"/>
  <c r="N235" i="15"/>
  <c r="T235" i="15" s="1"/>
  <c r="V235" i="15" s="1"/>
  <c r="O54" i="15"/>
  <c r="P54" i="15" s="1"/>
  <c r="O50" i="15"/>
  <c r="P189" i="15"/>
  <c r="E254" i="9"/>
  <c r="E159" i="11" s="1"/>
  <c r="D254" i="9"/>
  <c r="D159" i="11" s="1"/>
  <c r="D250" i="9"/>
  <c r="D155" i="11" s="1"/>
  <c r="E250" i="9"/>
  <c r="E155" i="11" s="1"/>
  <c r="D118" i="11"/>
  <c r="E118" i="11"/>
  <c r="E246" i="9"/>
  <c r="E151" i="11" s="1"/>
  <c r="D246" i="9"/>
  <c r="D151" i="11" s="1"/>
  <c r="E114" i="11"/>
  <c r="D114" i="11"/>
  <c r="L163" i="15"/>
  <c r="D273" i="9"/>
  <c r="D235" i="11" s="1"/>
  <c r="E273" i="9"/>
  <c r="E235" i="11" s="1"/>
  <c r="E284" i="9"/>
  <c r="E246" i="11" s="1"/>
  <c r="D284" i="9"/>
  <c r="D246" i="11" s="1"/>
  <c r="L108" i="15"/>
  <c r="P108" i="15" s="1"/>
  <c r="P110" i="15"/>
  <c r="D240" i="9"/>
  <c r="E240" i="9"/>
  <c r="D341" i="9"/>
  <c r="E341" i="9"/>
  <c r="E338" i="9"/>
  <c r="D338" i="9"/>
  <c r="P12" i="15"/>
  <c r="E21" i="9" s="1"/>
  <c r="D299" i="9"/>
  <c r="E299" i="9"/>
  <c r="D168" i="9"/>
  <c r="D187" i="11" s="1"/>
  <c r="E168" i="9"/>
  <c r="E187" i="11" s="1"/>
  <c r="E160" i="9"/>
  <c r="E184" i="11" s="1"/>
  <c r="D160" i="9"/>
  <c r="D184" i="11" s="1"/>
  <c r="E221" i="9"/>
  <c r="E214" i="11" s="1"/>
  <c r="D221" i="9"/>
  <c r="D214" i="11" s="1"/>
  <c r="D217" i="9"/>
  <c r="D210" i="11" s="1"/>
  <c r="E217" i="9"/>
  <c r="E210" i="11" s="1"/>
  <c r="D213" i="9"/>
  <c r="E213" i="9"/>
  <c r="N217" i="15"/>
  <c r="T217" i="15" s="1"/>
  <c r="O223" i="15"/>
  <c r="P223" i="15" s="1"/>
  <c r="L222" i="15"/>
  <c r="P222" i="15" s="1"/>
  <c r="N333" i="15"/>
  <c r="T333" i="15" s="1"/>
  <c r="V333" i="15" s="1"/>
  <c r="P78" i="15"/>
  <c r="P72" i="15"/>
  <c r="O155" i="15"/>
  <c r="P155" i="15" s="1"/>
  <c r="O139" i="15"/>
  <c r="P139" i="15" s="1"/>
  <c r="P316" i="15"/>
  <c r="P323" i="15"/>
  <c r="O46" i="15"/>
  <c r="P46" i="15" s="1"/>
  <c r="P166" i="15"/>
  <c r="N149" i="15"/>
  <c r="T149" i="15" s="1"/>
  <c r="V149" i="15" s="1"/>
  <c r="N143" i="15"/>
  <c r="T143" i="15" s="1"/>
  <c r="V143" i="15" s="1"/>
  <c r="P24" i="15"/>
  <c r="O107" i="15"/>
  <c r="L107" i="15"/>
  <c r="E251" i="9"/>
  <c r="E156" i="11" s="1"/>
  <c r="D251" i="9"/>
  <c r="D156" i="11" s="1"/>
  <c r="N174" i="15"/>
  <c r="T174" i="15" s="1"/>
  <c r="V174" i="15" s="1"/>
  <c r="O174" i="15"/>
  <c r="P174" i="15" s="1"/>
  <c r="E119" i="11"/>
  <c r="D119" i="11"/>
  <c r="P99" i="15"/>
  <c r="O176" i="15"/>
  <c r="L176" i="15"/>
  <c r="E115" i="11"/>
  <c r="D115" i="11"/>
  <c r="D262" i="9"/>
  <c r="D224" i="11" s="1"/>
  <c r="E262" i="9"/>
  <c r="E224" i="11" s="1"/>
  <c r="E278" i="9"/>
  <c r="E240" i="11" s="1"/>
  <c r="D278" i="9"/>
  <c r="D240" i="11" s="1"/>
  <c r="D261" i="9"/>
  <c r="D223" i="11" s="1"/>
  <c r="E261" i="9"/>
  <c r="E223" i="11" s="1"/>
  <c r="D229" i="9"/>
  <c r="E229" i="9"/>
  <c r="E316" i="9"/>
  <c r="D316" i="9"/>
  <c r="D322" i="9"/>
  <c r="E322" i="9"/>
  <c r="D304" i="9"/>
  <c r="E304" i="9"/>
  <c r="D142" i="9"/>
  <c r="E142" i="9"/>
  <c r="E128" i="9"/>
  <c r="E165" i="11" s="1"/>
  <c r="D128" i="9"/>
  <c r="D165" i="11" s="1"/>
  <c r="D210" i="9"/>
  <c r="E210" i="9"/>
  <c r="E178" i="9"/>
  <c r="E163" i="11" s="1"/>
  <c r="D178" i="9"/>
  <c r="D163" i="11" s="1"/>
  <c r="E184" i="9"/>
  <c r="D184" i="9"/>
  <c r="N117" i="15"/>
  <c r="T117" i="15" s="1"/>
  <c r="N182" i="15"/>
  <c r="T182" i="15" s="1"/>
  <c r="P85" i="15"/>
  <c r="O73" i="15"/>
  <c r="P73" i="15" s="1"/>
  <c r="P180" i="15"/>
  <c r="P182" i="15"/>
  <c r="L190" i="15"/>
  <c r="P190" i="15" s="1"/>
  <c r="P238" i="15"/>
  <c r="N177" i="15"/>
  <c r="T177" i="15" s="1"/>
  <c r="V177" i="15" s="1"/>
  <c r="P332" i="15"/>
  <c r="O45" i="15"/>
  <c r="P45" i="15" s="1"/>
  <c r="P56" i="15"/>
  <c r="N215" i="15"/>
  <c r="T215" i="15" s="1"/>
  <c r="V215" i="15" s="1"/>
  <c r="P279" i="15"/>
  <c r="E28" i="11" s="1"/>
  <c r="P241" i="15"/>
  <c r="P201" i="15"/>
  <c r="P247" i="15"/>
  <c r="E23" i="11" s="1"/>
  <c r="D116" i="11"/>
  <c r="E116" i="11"/>
  <c r="E267" i="9"/>
  <c r="E229" i="11" s="1"/>
  <c r="D267" i="9"/>
  <c r="D229" i="11" s="1"/>
  <c r="D264" i="9"/>
  <c r="D226" i="11" s="1"/>
  <c r="E264" i="9"/>
  <c r="E226" i="11" s="1"/>
  <c r="L53" i="15"/>
  <c r="P53" i="15" s="1"/>
  <c r="E234" i="9"/>
  <c r="D234" i="9"/>
  <c r="E332" i="9"/>
  <c r="D332" i="9"/>
  <c r="E313" i="9"/>
  <c r="D313" i="9"/>
  <c r="D138" i="9"/>
  <c r="E138" i="9"/>
  <c r="D153" i="9"/>
  <c r="D177" i="11" s="1"/>
  <c r="E153" i="9"/>
  <c r="E177" i="11" s="1"/>
  <c r="E152" i="9"/>
  <c r="E176" i="11" s="1"/>
  <c r="D152" i="9"/>
  <c r="D176" i="11" s="1"/>
  <c r="E172" i="9"/>
  <c r="E162" i="11" s="1"/>
  <c r="D172" i="9"/>
  <c r="D162" i="11" s="1"/>
  <c r="E212" i="9"/>
  <c r="D212" i="9"/>
  <c r="D204" i="9"/>
  <c r="D194" i="11" s="1"/>
  <c r="E204" i="9"/>
  <c r="E194" i="11" s="1"/>
  <c r="N191" i="15"/>
  <c r="T191" i="15" s="1"/>
  <c r="V191" i="15" s="1"/>
  <c r="L329" i="15"/>
  <c r="P329" i="15" s="1"/>
  <c r="P80" i="15"/>
  <c r="P84" i="15"/>
  <c r="P145" i="15"/>
  <c r="P119" i="15"/>
  <c r="O114" i="15"/>
  <c r="P114" i="15" s="1"/>
  <c r="O142" i="15"/>
  <c r="P142" i="15" s="1"/>
  <c r="P287" i="15"/>
  <c r="N186" i="15"/>
  <c r="T186" i="15" s="1"/>
  <c r="V186" i="15" s="1"/>
  <c r="O111" i="15"/>
  <c r="P111" i="15" s="1"/>
  <c r="N198" i="15"/>
  <c r="T198" i="15" s="1"/>
  <c r="V198" i="15" s="1"/>
  <c r="N179" i="15"/>
  <c r="T179" i="15" s="1"/>
  <c r="V179" i="15" s="1"/>
  <c r="N56" i="15"/>
  <c r="T56" i="15" s="1"/>
  <c r="L102" i="15"/>
  <c r="D252" i="9"/>
  <c r="D157" i="11" s="1"/>
  <c r="E252" i="9"/>
  <c r="E157" i="11" s="1"/>
  <c r="D120" i="11"/>
  <c r="E120" i="11"/>
  <c r="E275" i="9"/>
  <c r="E237" i="11" s="1"/>
  <c r="D275" i="9"/>
  <c r="D237" i="11" s="1"/>
  <c r="E258" i="9"/>
  <c r="E220" i="11" s="1"/>
  <c r="D258" i="9"/>
  <c r="D220" i="11" s="1"/>
  <c r="D269" i="9"/>
  <c r="D231" i="11" s="1"/>
  <c r="E269" i="9"/>
  <c r="E231" i="11" s="1"/>
  <c r="O234" i="15"/>
  <c r="P234" i="15" s="1"/>
  <c r="O229" i="15"/>
  <c r="P229" i="15" s="1"/>
  <c r="O236" i="15"/>
  <c r="P236" i="15" s="1"/>
  <c r="O237" i="15"/>
  <c r="P237" i="15" s="1"/>
  <c r="O232" i="15"/>
  <c r="P232" i="15" s="1"/>
  <c r="O230" i="15"/>
  <c r="P230" i="15" s="1"/>
  <c r="O233" i="15"/>
  <c r="P233" i="15" s="1"/>
  <c r="O235" i="15"/>
  <c r="P235" i="15" s="1"/>
  <c r="O231" i="15"/>
  <c r="P231" i="15" s="1"/>
  <c r="O228" i="15"/>
  <c r="L123" i="15"/>
  <c r="P123" i="15" s="1"/>
  <c r="O109" i="15"/>
  <c r="L109" i="15"/>
  <c r="D236" i="9"/>
  <c r="E236" i="9"/>
  <c r="D342" i="9"/>
  <c r="E342" i="9"/>
  <c r="D323" i="9"/>
  <c r="E323" i="9"/>
  <c r="E133" i="9"/>
  <c r="D133" i="9"/>
  <c r="E164" i="9"/>
  <c r="D164" i="9"/>
  <c r="D151" i="9"/>
  <c r="E151" i="9"/>
  <c r="E206" i="9"/>
  <c r="E196" i="11" s="1"/>
  <c r="D206" i="9"/>
  <c r="D196" i="11" s="1"/>
  <c r="D205" i="9"/>
  <c r="D195" i="11" s="1"/>
  <c r="E205" i="9"/>
  <c r="E195" i="11" s="1"/>
  <c r="E224" i="9"/>
  <c r="D224" i="9"/>
  <c r="N44" i="15"/>
  <c r="T44" i="15" s="1"/>
  <c r="V44" i="15" s="1"/>
  <c r="P64" i="15"/>
  <c r="P90" i="15"/>
  <c r="P149" i="15"/>
  <c r="P268" i="15"/>
  <c r="P310" i="15"/>
  <c r="O55" i="15"/>
  <c r="P196" i="15"/>
  <c r="P215" i="15"/>
  <c r="D27" i="11"/>
  <c r="D26" i="11"/>
  <c r="D263" i="9"/>
  <c r="D225" i="11" s="1"/>
  <c r="E263" i="9"/>
  <c r="E225" i="11" s="1"/>
  <c r="D274" i="9"/>
  <c r="D236" i="11" s="1"/>
  <c r="E274" i="9"/>
  <c r="E236" i="11" s="1"/>
  <c r="P163" i="15"/>
  <c r="L315" i="15"/>
  <c r="P315" i="15" s="1"/>
  <c r="N172" i="15"/>
  <c r="T172" i="15" s="1"/>
  <c r="V172" i="15" s="1"/>
  <c r="O172" i="15"/>
  <c r="P172" i="15" s="1"/>
  <c r="L44" i="15"/>
  <c r="D227" i="9"/>
  <c r="E227" i="9"/>
  <c r="D325" i="9"/>
  <c r="E325" i="9"/>
  <c r="D334" i="9"/>
  <c r="E334" i="9"/>
  <c r="E148" i="9"/>
  <c r="D148" i="9"/>
  <c r="E167" i="9"/>
  <c r="D167" i="9"/>
  <c r="D165" i="9"/>
  <c r="E165" i="9"/>
  <c r="D216" i="9"/>
  <c r="D209" i="11" s="1"/>
  <c r="E216" i="9"/>
  <c r="E209" i="11" s="1"/>
  <c r="E215" i="9"/>
  <c r="E208" i="11" s="1"/>
  <c r="D215" i="9"/>
  <c r="D208" i="11" s="1"/>
  <c r="L59" i="15"/>
  <c r="P59" i="15" s="1"/>
  <c r="N88" i="15"/>
  <c r="T88" i="15" s="1"/>
  <c r="P91" i="15"/>
  <c r="P92" i="15"/>
  <c r="P126" i="15"/>
  <c r="P138" i="15"/>
  <c r="N213" i="15"/>
  <c r="T213" i="15" s="1"/>
  <c r="V213" i="15" s="1"/>
  <c r="N328" i="15"/>
  <c r="T328" i="15" s="1"/>
  <c r="N228" i="15"/>
  <c r="T228" i="15" s="1"/>
  <c r="V228" i="15" s="1"/>
  <c r="O173" i="15"/>
  <c r="P173" i="15" s="1"/>
  <c r="N188" i="15"/>
  <c r="T188" i="15" s="1"/>
  <c r="N97" i="15"/>
  <c r="T97" i="15" s="1"/>
  <c r="P169" i="15"/>
  <c r="P191" i="15"/>
  <c r="O25" i="15"/>
  <c r="E249" i="9"/>
  <c r="E154" i="11" s="1"/>
  <c r="D249" i="9"/>
  <c r="D154" i="11" s="1"/>
  <c r="D272" i="9"/>
  <c r="D234" i="11" s="1"/>
  <c r="E272" i="9"/>
  <c r="E234" i="11" s="1"/>
  <c r="E283" i="9"/>
  <c r="E245" i="11" s="1"/>
  <c r="D283" i="9"/>
  <c r="D245" i="11" s="1"/>
  <c r="E247" i="9"/>
  <c r="E152" i="11" s="1"/>
  <c r="D247" i="9"/>
  <c r="D152" i="11" s="1"/>
  <c r="L321" i="15"/>
  <c r="P321" i="15" s="1"/>
  <c r="D276" i="9"/>
  <c r="D238" i="11" s="1"/>
  <c r="E276" i="9"/>
  <c r="E238" i="11" s="1"/>
  <c r="D266" i="9"/>
  <c r="D228" i="11" s="1"/>
  <c r="E266" i="9"/>
  <c r="E228" i="11" s="1"/>
  <c r="O168" i="15"/>
  <c r="P168" i="15" s="1"/>
  <c r="N222" i="15"/>
  <c r="T222" i="15" s="1"/>
  <c r="V222" i="15" s="1"/>
  <c r="N51" i="15"/>
  <c r="T51" i="15" s="1"/>
  <c r="O51" i="15"/>
  <c r="P51" i="15" s="1"/>
  <c r="E241" i="9"/>
  <c r="D241" i="9"/>
  <c r="D311" i="9"/>
  <c r="E311" i="9"/>
  <c r="E344" i="9"/>
  <c r="D344" i="9"/>
  <c r="L198" i="15"/>
  <c r="E301" i="9"/>
  <c r="D301" i="9"/>
  <c r="E143" i="9"/>
  <c r="D143" i="9"/>
  <c r="E135" i="9"/>
  <c r="D135" i="9"/>
  <c r="D156" i="9"/>
  <c r="D180" i="11" s="1"/>
  <c r="E156" i="9"/>
  <c r="E180" i="11" s="1"/>
  <c r="D175" i="9"/>
  <c r="E175" i="9"/>
  <c r="D173" i="9"/>
  <c r="E173" i="9"/>
  <c r="P281" i="15"/>
  <c r="P68" i="15"/>
  <c r="O141" i="15"/>
  <c r="P141" i="15" s="1"/>
  <c r="P146" i="15"/>
  <c r="O135" i="15"/>
  <c r="P177" i="15"/>
  <c r="O44" i="15"/>
  <c r="P44" i="15" s="1"/>
  <c r="N157" i="15"/>
  <c r="T157" i="15" s="1"/>
  <c r="V157" i="15" s="1"/>
  <c r="N21" i="15"/>
  <c r="T21" i="15" s="1"/>
  <c r="V21" i="15" s="1"/>
  <c r="P198" i="15"/>
  <c r="P17" i="15"/>
  <c r="D31" i="9"/>
  <c r="D28" i="11"/>
  <c r="P29" i="15"/>
  <c r="D248" i="9"/>
  <c r="D153" i="11" s="1"/>
  <c r="E248" i="9"/>
  <c r="E153" i="11" s="1"/>
  <c r="D281" i="9"/>
  <c r="D243" i="11" s="1"/>
  <c r="E281" i="9"/>
  <c r="E243" i="11" s="1"/>
  <c r="E260" i="9"/>
  <c r="E222" i="11" s="1"/>
  <c r="D260" i="9"/>
  <c r="D222" i="11" s="1"/>
  <c r="N319" i="15"/>
  <c r="T319" i="15" s="1"/>
  <c r="V319" i="15" s="1"/>
  <c r="D231" i="9"/>
  <c r="D143" i="11" s="1"/>
  <c r="E231" i="9"/>
  <c r="E143" i="11" s="1"/>
  <c r="E327" i="9"/>
  <c r="D327" i="9"/>
  <c r="E319" i="9"/>
  <c r="D319" i="9"/>
  <c r="E306" i="9"/>
  <c r="D306" i="9"/>
  <c r="E134" i="9"/>
  <c r="D134" i="9"/>
  <c r="D150" i="9"/>
  <c r="D175" i="11" s="1"/>
  <c r="E150" i="9"/>
  <c r="E175" i="11" s="1"/>
  <c r="D137" i="9"/>
  <c r="E137" i="9"/>
  <c r="E225" i="9"/>
  <c r="E216" i="11" s="1"/>
  <c r="D225" i="9"/>
  <c r="D216" i="11" s="1"/>
  <c r="E183" i="9"/>
  <c r="D183" i="9"/>
  <c r="P220" i="15"/>
  <c r="L39" i="15"/>
  <c r="P39" i="15" s="1"/>
  <c r="D23" i="11"/>
  <c r="P243" i="15"/>
  <c r="E22" i="11" s="1"/>
  <c r="P77" i="15"/>
  <c r="P125" i="15"/>
  <c r="P153" i="15"/>
  <c r="P184" i="15"/>
  <c r="N47" i="15"/>
  <c r="T47" i="15" s="1"/>
  <c r="V47" i="15" s="1"/>
  <c r="P297" i="15"/>
  <c r="P331" i="15"/>
  <c r="N91" i="15"/>
  <c r="T91" i="15" s="1"/>
  <c r="V91" i="15" s="1"/>
  <c r="P63" i="15"/>
  <c r="P262" i="15"/>
  <c r="N78" i="15"/>
  <c r="T78" i="15" s="1"/>
  <c r="P253" i="15"/>
  <c r="E25" i="11" s="1"/>
  <c r="F25" i="11" s="1"/>
  <c r="P200" i="15"/>
  <c r="O205" i="15"/>
  <c r="P205" i="15" s="1"/>
  <c r="P280" i="15"/>
  <c r="N323" i="15"/>
  <c r="T323" i="15" s="1"/>
  <c r="V323" i="15" s="1"/>
  <c r="D238" i="9"/>
  <c r="E238" i="9"/>
  <c r="D232" i="9"/>
  <c r="E232" i="9"/>
  <c r="D320" i="9"/>
  <c r="E320" i="9"/>
  <c r="D337" i="9"/>
  <c r="E337" i="9"/>
  <c r="E329" i="9"/>
  <c r="D329" i="9"/>
  <c r="L203" i="15"/>
  <c r="D302" i="9"/>
  <c r="E302" i="9"/>
  <c r="D158" i="9"/>
  <c r="D182" i="11" s="1"/>
  <c r="E158" i="9"/>
  <c r="E182" i="11" s="1"/>
  <c r="D145" i="9"/>
  <c r="E145" i="9"/>
  <c r="D147" i="9"/>
  <c r="E147" i="9"/>
  <c r="D177" i="9"/>
  <c r="E177" i="9"/>
  <c r="E203" i="9"/>
  <c r="E193" i="11" s="1"/>
  <c r="D203" i="9"/>
  <c r="D193" i="11" s="1"/>
  <c r="P79" i="15"/>
  <c r="O151" i="15"/>
  <c r="P186" i="15"/>
  <c r="O314" i="15"/>
  <c r="C19" i="10"/>
  <c r="O31" i="15"/>
  <c r="P31" i="15" s="1"/>
  <c r="P202" i="15"/>
  <c r="N118" i="15"/>
  <c r="T118" i="15" s="1"/>
  <c r="N226" i="15"/>
  <c r="T226" i="15" s="1"/>
  <c r="V226" i="15" s="1"/>
  <c r="N103" i="15"/>
  <c r="T103" i="15" s="1"/>
  <c r="V103" i="15" s="1"/>
  <c r="E243" i="9"/>
  <c r="D243" i="9"/>
  <c r="D237" i="9"/>
  <c r="E237" i="9"/>
  <c r="D315" i="9"/>
  <c r="E315" i="9"/>
  <c r="E335" i="9"/>
  <c r="D335" i="9"/>
  <c r="L157" i="15"/>
  <c r="P157" i="15" s="1"/>
  <c r="E300" i="9"/>
  <c r="D300" i="9"/>
  <c r="D162" i="9"/>
  <c r="E162" i="9"/>
  <c r="E155" i="9"/>
  <c r="E179" i="11" s="1"/>
  <c r="D155" i="9"/>
  <c r="D179" i="11" s="1"/>
  <c r="E161" i="9"/>
  <c r="E185" i="11" s="1"/>
  <c r="D161" i="9"/>
  <c r="D185" i="11" s="1"/>
  <c r="D211" i="9"/>
  <c r="D198" i="11" s="1"/>
  <c r="E211" i="9"/>
  <c r="E198" i="11" s="1"/>
  <c r="E223" i="9"/>
  <c r="E215" i="11" s="1"/>
  <c r="D223" i="9"/>
  <c r="D215" i="11" s="1"/>
  <c r="O217" i="15"/>
  <c r="P217" i="15" s="1"/>
  <c r="O105" i="15"/>
  <c r="P105" i="15" s="1"/>
  <c r="P69" i="15"/>
  <c r="O131" i="15"/>
  <c r="P131" i="15" s="1"/>
  <c r="P94" i="15"/>
  <c r="P81" i="15"/>
  <c r="P288" i="15"/>
  <c r="P311" i="15"/>
  <c r="O319" i="15"/>
  <c r="P319" i="15" s="1"/>
  <c r="P57" i="15"/>
  <c r="P272" i="15"/>
  <c r="O103" i="15"/>
  <c r="P103" i="15" s="1"/>
  <c r="N140" i="15"/>
  <c r="T140" i="15" s="1"/>
  <c r="P21" i="15"/>
  <c r="N27" i="15"/>
  <c r="T27" i="15" s="1"/>
  <c r="V27" i="15" s="1"/>
  <c r="E19" i="10"/>
  <c r="P206" i="15"/>
  <c r="P211" i="15"/>
  <c r="N42" i="15"/>
  <c r="T42" i="15" s="1"/>
  <c r="V42" i="15" s="1"/>
  <c r="D277" i="9"/>
  <c r="D239" i="11" s="1"/>
  <c r="E277" i="9"/>
  <c r="E239" i="11" s="1"/>
  <c r="E280" i="9"/>
  <c r="E242" i="11" s="1"/>
  <c r="D280" i="9"/>
  <c r="D242" i="11" s="1"/>
  <c r="D117" i="11"/>
  <c r="E117" i="11"/>
  <c r="E268" i="9"/>
  <c r="E230" i="11" s="1"/>
  <c r="D268" i="9"/>
  <c r="D230" i="11" s="1"/>
  <c r="D265" i="9"/>
  <c r="D227" i="11" s="1"/>
  <c r="E265" i="9"/>
  <c r="E227" i="11" s="1"/>
  <c r="P3" i="15"/>
  <c r="N306" i="15"/>
  <c r="T306" i="15" s="1"/>
  <c r="O170" i="15"/>
  <c r="L170" i="15"/>
  <c r="N69" i="15"/>
  <c r="T69" i="15" s="1"/>
  <c r="E239" i="9"/>
  <c r="D239" i="9"/>
  <c r="E242" i="9"/>
  <c r="D242" i="9"/>
  <c r="D331" i="9"/>
  <c r="E331" i="9"/>
  <c r="D345" i="9"/>
  <c r="E345" i="9"/>
  <c r="E314" i="9"/>
  <c r="D314" i="9"/>
  <c r="D305" i="9"/>
  <c r="E305" i="9"/>
  <c r="D139" i="9"/>
  <c r="D167" i="11" s="1"/>
  <c r="E139" i="9"/>
  <c r="E167" i="11" s="1"/>
  <c r="D169" i="9"/>
  <c r="D188" i="11" s="1"/>
  <c r="E169" i="9"/>
  <c r="E188" i="11" s="1"/>
  <c r="E176" i="9"/>
  <c r="D176" i="9"/>
  <c r="D174" i="9"/>
  <c r="E174" i="9"/>
  <c r="L326" i="15"/>
  <c r="P326" i="15" s="1"/>
  <c r="P257" i="15"/>
  <c r="P86" i="15"/>
  <c r="O112" i="15"/>
  <c r="P179" i="15"/>
  <c r="P148" i="15"/>
  <c r="P115" i="15"/>
  <c r="P88" i="15"/>
  <c r="O52" i="15"/>
  <c r="P52" i="15" s="1"/>
  <c r="P301" i="15"/>
  <c r="P306" i="15"/>
  <c r="P60" i="15"/>
  <c r="P28" i="15"/>
  <c r="D19" i="10"/>
  <c r="F19" i="10" s="1"/>
  <c r="N14" i="15"/>
  <c r="T14" i="15" s="1"/>
  <c r="V14" i="15" s="1"/>
  <c r="P209" i="15"/>
  <c r="E253" i="9"/>
  <c r="E158" i="11" s="1"/>
  <c r="D253" i="9"/>
  <c r="D158" i="11" s="1"/>
  <c r="D282" i="9"/>
  <c r="D244" i="11" s="1"/>
  <c r="E282" i="9"/>
  <c r="E244" i="11" s="1"/>
  <c r="D279" i="9"/>
  <c r="D241" i="11" s="1"/>
  <c r="E279" i="9"/>
  <c r="E241" i="11" s="1"/>
  <c r="L95" i="15"/>
  <c r="L195" i="15"/>
  <c r="P195" i="15" s="1"/>
  <c r="N71" i="15"/>
  <c r="T71" i="15" s="1"/>
  <c r="V71" i="15" s="1"/>
  <c r="E230" i="9"/>
  <c r="D230" i="9"/>
  <c r="D228" i="9"/>
  <c r="E228" i="9"/>
  <c r="D310" i="9"/>
  <c r="E310" i="9"/>
  <c r="D317" i="9"/>
  <c r="E317" i="9"/>
  <c r="D340" i="9"/>
  <c r="E340" i="9"/>
  <c r="L328" i="15"/>
  <c r="P328" i="15" s="1"/>
  <c r="N168" i="15"/>
  <c r="T168" i="15" s="1"/>
  <c r="V168" i="15" s="1"/>
  <c r="D307" i="9"/>
  <c r="E307" i="9"/>
  <c r="E149" i="9"/>
  <c r="E174" i="11" s="1"/>
  <c r="D149" i="9"/>
  <c r="D174" i="11" s="1"/>
  <c r="E157" i="9"/>
  <c r="E181" i="11" s="1"/>
  <c r="D157" i="9"/>
  <c r="D181" i="11" s="1"/>
  <c r="D209" i="9"/>
  <c r="E209" i="9"/>
  <c r="E207" i="9"/>
  <c r="E197" i="11" s="1"/>
  <c r="D207" i="9"/>
  <c r="D197" i="11" s="1"/>
  <c r="D208" i="9"/>
  <c r="E208" i="9"/>
  <c r="P266" i="15"/>
  <c r="N79" i="15"/>
  <c r="T79" i="15" s="1"/>
  <c r="P66" i="15"/>
  <c r="P178" i="15"/>
  <c r="P122" i="15"/>
  <c r="O95" i="15"/>
  <c r="N109" i="15"/>
  <c r="T109" i="15" s="1"/>
  <c r="V109" i="15" s="1"/>
  <c r="P327" i="15"/>
  <c r="N35" i="15"/>
  <c r="T35" i="15" s="1"/>
  <c r="V35" i="15" s="1"/>
  <c r="T3" i="15"/>
  <c r="P19" i="15"/>
  <c r="N80" i="15"/>
  <c r="T80" i="15" s="1"/>
  <c r="O162" i="15"/>
  <c r="I25" i="10"/>
  <c r="O203" i="15"/>
  <c r="D34" i="9" s="1"/>
  <c r="P210" i="15"/>
  <c r="D29" i="11"/>
  <c r="D32" i="9"/>
  <c r="E30" i="11" l="1"/>
  <c r="F30" i="11" s="1"/>
  <c r="P175" i="15"/>
  <c r="D31" i="11"/>
  <c r="D39" i="9" s="1"/>
  <c r="P95" i="15"/>
  <c r="E27" i="11"/>
  <c r="F27" i="11" s="1"/>
  <c r="P176" i="15"/>
  <c r="F28" i="11"/>
  <c r="E26" i="11"/>
  <c r="F26" i="11" s="1"/>
  <c r="P170" i="15"/>
  <c r="E37" i="9"/>
  <c r="P107" i="15"/>
  <c r="P55" i="15"/>
  <c r="E33" i="9" s="1"/>
  <c r="D33" i="9"/>
  <c r="P112" i="15"/>
  <c r="E27" i="9" s="1"/>
  <c r="D27" i="9"/>
  <c r="P109" i="15"/>
  <c r="F23" i="11"/>
  <c r="E26" i="9"/>
  <c r="P228" i="15"/>
  <c r="E36" i="9" s="1"/>
  <c r="D36" i="9"/>
  <c r="P102" i="15"/>
  <c r="P203" i="15"/>
  <c r="E34" i="9" s="1"/>
  <c r="F34" i="9" s="1"/>
  <c r="P314" i="15"/>
  <c r="E38" i="9" s="1"/>
  <c r="F38" i="9" s="1"/>
  <c r="D38" i="9"/>
  <c r="P216" i="15"/>
  <c r="E35" i="9" s="1"/>
  <c r="D35" i="9"/>
  <c r="I26" i="10"/>
  <c r="H27" i="10"/>
  <c r="T335" i="15"/>
  <c r="A26" i="10" s="1"/>
  <c r="V3" i="15"/>
  <c r="U3" i="15"/>
  <c r="U4" i="15" s="1"/>
  <c r="U5" i="15" s="1"/>
  <c r="U6" i="15" s="1"/>
  <c r="U7" i="15" s="1"/>
  <c r="U8" i="15" s="1"/>
  <c r="U9" i="15" s="1"/>
  <c r="U10" i="15" s="1"/>
  <c r="U11" i="15" s="1"/>
  <c r="U12" i="15" s="1"/>
  <c r="U13" i="15" s="1"/>
  <c r="U14" i="15" s="1"/>
  <c r="U15" i="15" s="1"/>
  <c r="U16" i="15" s="1"/>
  <c r="U17" i="15" s="1"/>
  <c r="U18" i="15" s="1"/>
  <c r="U19" i="15" s="1"/>
  <c r="U20" i="15" s="1"/>
  <c r="U21" i="15" s="1"/>
  <c r="U22" i="15" s="1"/>
  <c r="U23" i="15" s="1"/>
  <c r="U24" i="15" s="1"/>
  <c r="U25" i="15" s="1"/>
  <c r="C20" i="10"/>
  <c r="P50" i="15"/>
  <c r="E23" i="9" s="1"/>
  <c r="D23" i="9"/>
  <c r="E28" i="9"/>
  <c r="F21" i="9"/>
  <c r="K25" i="10"/>
  <c r="J25" i="10"/>
  <c r="M25" i="10"/>
  <c r="L25" i="10"/>
  <c r="P151" i="15"/>
  <c r="E30" i="9" s="1"/>
  <c r="D30" i="9"/>
  <c r="E31" i="9"/>
  <c r="F31" i="9" s="1"/>
  <c r="P162" i="15"/>
  <c r="E25" i="9" s="1"/>
  <c r="D25" i="9"/>
  <c r="E29" i="11"/>
  <c r="F29" i="11" s="1"/>
  <c r="P135" i="15"/>
  <c r="E29" i="9" s="1"/>
  <c r="D29" i="9"/>
  <c r="P96" i="15"/>
  <c r="D24" i="9"/>
  <c r="D37" i="9"/>
  <c r="F37" i="9" s="1"/>
  <c r="F22" i="11"/>
  <c r="D20" i="10"/>
  <c r="P25" i="15"/>
  <c r="D22" i="9"/>
  <c r="P106" i="15"/>
  <c r="D26" i="9"/>
  <c r="E32" i="9"/>
  <c r="F32" i="9" s="1"/>
  <c r="D28" i="9"/>
  <c r="F36" i="9" l="1"/>
  <c r="D40" i="9"/>
  <c r="F30" i="9"/>
  <c r="E24" i="9"/>
  <c r="F24" i="9" s="1"/>
  <c r="M26" i="10"/>
  <c r="L26" i="10"/>
  <c r="K26" i="10"/>
  <c r="J26" i="10"/>
  <c r="A27" i="10"/>
  <c r="F26" i="9"/>
  <c r="F35" i="9"/>
  <c r="F29" i="9"/>
  <c r="E22" i="9"/>
  <c r="E20" i="10"/>
  <c r="F20" i="10" s="1"/>
  <c r="F28" i="9"/>
  <c r="I27" i="10"/>
  <c r="H28" i="10"/>
  <c r="F25" i="9"/>
  <c r="E31" i="11"/>
  <c r="F23" i="9"/>
  <c r="F27" i="9"/>
  <c r="F33" i="9"/>
  <c r="U26" i="15"/>
  <c r="V25" i="15"/>
  <c r="B25" i="10" s="1"/>
  <c r="F22" i="9" l="1"/>
  <c r="U27" i="15"/>
  <c r="U28" i="15" s="1"/>
  <c r="U29" i="15" s="1"/>
  <c r="U30" i="15" s="1"/>
  <c r="U31" i="15" s="1"/>
  <c r="U32" i="15" s="1"/>
  <c r="U33" i="15" s="1"/>
  <c r="U34" i="15" s="1"/>
  <c r="U35" i="15" s="1"/>
  <c r="U36" i="15" s="1"/>
  <c r="U37" i="15" s="1"/>
  <c r="V26" i="15"/>
  <c r="B26" i="10" s="1"/>
  <c r="H29" i="10"/>
  <c r="I28" i="10"/>
  <c r="M27" i="10"/>
  <c r="L27" i="10"/>
  <c r="J27" i="10"/>
  <c r="K27" i="10"/>
  <c r="C25" i="10"/>
  <c r="F25" i="10"/>
  <c r="D25" i="10"/>
  <c r="E25" i="10"/>
  <c r="A28" i="10"/>
  <c r="F31" i="11"/>
  <c r="E39" i="9"/>
  <c r="F39" i="9" s="1"/>
  <c r="F26" i="10" l="1"/>
  <c r="D26" i="10"/>
  <c r="E26" i="10"/>
  <c r="C26" i="10"/>
  <c r="I29" i="10"/>
  <c r="H30" i="10"/>
  <c r="U38" i="15"/>
  <c r="V37" i="15"/>
  <c r="B27" i="10" s="1"/>
  <c r="E40" i="9"/>
  <c r="F40" i="9" s="1"/>
  <c r="K28" i="10"/>
  <c r="M28" i="10"/>
  <c r="L28" i="10"/>
  <c r="J28" i="10"/>
  <c r="A29" i="10"/>
  <c r="F27" i="10" l="1"/>
  <c r="E27" i="10"/>
  <c r="C27" i="10"/>
  <c r="D27" i="10"/>
  <c r="U39" i="15"/>
  <c r="V38" i="15"/>
  <c r="B28" i="10" s="1"/>
  <c r="I30" i="10"/>
  <c r="H31" i="10"/>
  <c r="M29" i="10"/>
  <c r="L29" i="10"/>
  <c r="K29" i="10"/>
  <c r="J29" i="10"/>
  <c r="A30" i="10"/>
  <c r="A31" i="10" l="1"/>
  <c r="I31" i="10"/>
  <c r="H32" i="10"/>
  <c r="D28" i="10"/>
  <c r="C28" i="10"/>
  <c r="F28" i="10"/>
  <c r="E28" i="10"/>
  <c r="M30" i="10"/>
  <c r="J30" i="10"/>
  <c r="L30" i="10"/>
  <c r="K30" i="10"/>
  <c r="U40" i="15"/>
  <c r="V39" i="15"/>
  <c r="B29" i="10" s="1"/>
  <c r="U41" i="15" l="1"/>
  <c r="U42" i="15" s="1"/>
  <c r="U43" i="15" s="1"/>
  <c r="U44" i="15" s="1"/>
  <c r="U45" i="15" s="1"/>
  <c r="U46" i="15" s="1"/>
  <c r="U47" i="15" s="1"/>
  <c r="U48" i="15" s="1"/>
  <c r="U49" i="15" s="1"/>
  <c r="U50" i="15" s="1"/>
  <c r="V40" i="15"/>
  <c r="D29" i="10"/>
  <c r="E29" i="10"/>
  <c r="C29" i="10"/>
  <c r="F29" i="10"/>
  <c r="H33" i="10"/>
  <c r="I32" i="10"/>
  <c r="M31" i="10"/>
  <c r="K31" i="10"/>
  <c r="L31" i="10"/>
  <c r="J31" i="10"/>
  <c r="B30" i="10"/>
  <c r="A32" i="10"/>
  <c r="F30" i="10" l="1"/>
  <c r="E30" i="10"/>
  <c r="D30" i="10"/>
  <c r="C30" i="10"/>
  <c r="K32" i="10"/>
  <c r="L32" i="10"/>
  <c r="M32" i="10"/>
  <c r="J32" i="10"/>
  <c r="I33" i="10"/>
  <c r="H34" i="10"/>
  <c r="A33" i="10"/>
  <c r="U51" i="15"/>
  <c r="V50" i="15"/>
  <c r="B31" i="10" s="1"/>
  <c r="U52" i="15" l="1"/>
  <c r="V51" i="15"/>
  <c r="E31" i="10"/>
  <c r="D31" i="10"/>
  <c r="C31" i="10"/>
  <c r="F31" i="10"/>
  <c r="I34" i="10"/>
  <c r="H35" i="10"/>
  <c r="B32" i="10"/>
  <c r="A34" i="10"/>
  <c r="M33" i="10"/>
  <c r="J33" i="10"/>
  <c r="L33" i="10"/>
  <c r="K33" i="10"/>
  <c r="A35" i="10" l="1"/>
  <c r="D32" i="10"/>
  <c r="E32" i="10"/>
  <c r="F32" i="10"/>
  <c r="C32" i="10"/>
  <c r="K34" i="10"/>
  <c r="J34" i="10"/>
  <c r="L34" i="10"/>
  <c r="M34" i="10"/>
  <c r="I35" i="10"/>
  <c r="H36" i="10"/>
  <c r="U53" i="15"/>
  <c r="V52" i="15"/>
  <c r="B33" i="10" s="1"/>
  <c r="K35" i="10" l="1"/>
  <c r="L35" i="10"/>
  <c r="M35" i="10"/>
  <c r="J35" i="10"/>
  <c r="F33" i="10"/>
  <c r="E33" i="10"/>
  <c r="D33" i="10"/>
  <c r="C33" i="10"/>
  <c r="U54" i="15"/>
  <c r="U55" i="15" s="1"/>
  <c r="V53" i="15"/>
  <c r="H37" i="10"/>
  <c r="I36" i="10"/>
  <c r="B34" i="10"/>
  <c r="A36" i="10"/>
  <c r="F34" i="10" l="1"/>
  <c r="C34" i="10"/>
  <c r="E34" i="10"/>
  <c r="D34" i="10"/>
  <c r="H38" i="10"/>
  <c r="I37" i="10"/>
  <c r="U56" i="15"/>
  <c r="V55" i="15"/>
  <c r="B35" i="10" s="1"/>
  <c r="M36" i="10"/>
  <c r="L36" i="10"/>
  <c r="J36" i="10"/>
  <c r="K36" i="10"/>
  <c r="A37" i="10"/>
  <c r="A38" i="10" l="1"/>
  <c r="U57" i="15"/>
  <c r="V56" i="15"/>
  <c r="B36" i="10" s="1"/>
  <c r="K37" i="10"/>
  <c r="J37" i="10"/>
  <c r="M37" i="10"/>
  <c r="L37" i="10"/>
  <c r="D35" i="10"/>
  <c r="C35" i="10"/>
  <c r="F35" i="10"/>
  <c r="E35" i="10"/>
  <c r="I38" i="10"/>
  <c r="H39" i="10"/>
  <c r="L38" i="10" l="1"/>
  <c r="K38" i="10"/>
  <c r="M38" i="10"/>
  <c r="J38" i="10"/>
  <c r="H40" i="10"/>
  <c r="I39" i="10"/>
  <c r="D36" i="10"/>
  <c r="F36" i="10"/>
  <c r="E36" i="10"/>
  <c r="C36" i="10"/>
  <c r="A39" i="10"/>
  <c r="U58" i="15"/>
  <c r="V57" i="15"/>
  <c r="B37" i="10" s="1"/>
  <c r="F37" i="10" l="1"/>
  <c r="E37" i="10"/>
  <c r="C37" i="10"/>
  <c r="D37" i="10"/>
  <c r="U59" i="15"/>
  <c r="U60" i="15" s="1"/>
  <c r="U61" i="15" s="1"/>
  <c r="U62" i="15" s="1"/>
  <c r="U63" i="15" s="1"/>
  <c r="U64" i="15" s="1"/>
  <c r="V58" i="15"/>
  <c r="B38" i="10" s="1"/>
  <c r="A40" i="10"/>
  <c r="K39" i="10"/>
  <c r="M39" i="10"/>
  <c r="L39" i="10"/>
  <c r="J39" i="10"/>
  <c r="H41" i="10"/>
  <c r="I40" i="10"/>
  <c r="F38" i="10" l="1"/>
  <c r="E38" i="10"/>
  <c r="D38" i="10"/>
  <c r="C38" i="10"/>
  <c r="U65" i="15"/>
  <c r="V64" i="15"/>
  <c r="B39" i="10" s="1"/>
  <c r="M40" i="10"/>
  <c r="L40" i="10"/>
  <c r="K40" i="10"/>
  <c r="J40" i="10"/>
  <c r="I41" i="10"/>
  <c r="H42" i="10"/>
  <c r="A41" i="10"/>
  <c r="L41" i="10" l="1"/>
  <c r="M41" i="10"/>
  <c r="K41" i="10"/>
  <c r="J41" i="10"/>
  <c r="A42" i="10"/>
  <c r="I42" i="10"/>
  <c r="H43" i="10"/>
  <c r="D39" i="10"/>
  <c r="F39" i="10"/>
  <c r="E39" i="10"/>
  <c r="C39" i="10"/>
  <c r="U66" i="15"/>
  <c r="V65" i="15"/>
  <c r="B40" i="10" s="1"/>
  <c r="F40" i="10" l="1"/>
  <c r="C40" i="10"/>
  <c r="E40" i="10"/>
  <c r="D40" i="10"/>
  <c r="U67" i="15"/>
  <c r="V66" i="15"/>
  <c r="B41" i="10" s="1"/>
  <c r="K42" i="10"/>
  <c r="M42" i="10"/>
  <c r="L42" i="10"/>
  <c r="J42" i="10"/>
  <c r="A43" i="10"/>
  <c r="H44" i="10"/>
  <c r="I43" i="10"/>
  <c r="A44" i="10" l="1"/>
  <c r="F41" i="10"/>
  <c r="D41" i="10"/>
  <c r="E41" i="10"/>
  <c r="C41" i="10"/>
  <c r="U68" i="15"/>
  <c r="V67" i="15"/>
  <c r="B42" i="10" s="1"/>
  <c r="I44" i="10"/>
  <c r="H45" i="10"/>
  <c r="M43" i="10"/>
  <c r="K43" i="10"/>
  <c r="L43" i="10"/>
  <c r="J43" i="10"/>
  <c r="I45" i="10" l="1"/>
  <c r="H46" i="10"/>
  <c r="M44" i="10"/>
  <c r="L44" i="10"/>
  <c r="J44" i="10"/>
  <c r="K44" i="10"/>
  <c r="F42" i="10"/>
  <c r="E42" i="10"/>
  <c r="D42" i="10"/>
  <c r="C42" i="10"/>
  <c r="U69" i="15"/>
  <c r="V68" i="15"/>
  <c r="B43" i="10" s="1"/>
  <c r="A45" i="10"/>
  <c r="D43" i="10" l="1"/>
  <c r="C43" i="10"/>
  <c r="F43" i="10"/>
  <c r="E43" i="10"/>
  <c r="U70" i="15"/>
  <c r="V69" i="15"/>
  <c r="B44" i="10" s="1"/>
  <c r="I46" i="10"/>
  <c r="H47" i="10"/>
  <c r="A46" i="10"/>
  <c r="M45" i="10"/>
  <c r="J45" i="10"/>
  <c r="K45" i="10"/>
  <c r="L45" i="10"/>
  <c r="F44" i="10" l="1"/>
  <c r="D44" i="10"/>
  <c r="C44" i="10"/>
  <c r="E44" i="10"/>
  <c r="A47" i="10"/>
  <c r="I47" i="10"/>
  <c r="H48" i="10"/>
  <c r="K46" i="10"/>
  <c r="M46" i="10"/>
  <c r="J46" i="10"/>
  <c r="L46" i="10"/>
  <c r="U71" i="15"/>
  <c r="U72" i="15" s="1"/>
  <c r="U73" i="15" s="1"/>
  <c r="U74" i="15" s="1"/>
  <c r="U75" i="15" s="1"/>
  <c r="U76" i="15" s="1"/>
  <c r="U77" i="15" s="1"/>
  <c r="U78" i="15" s="1"/>
  <c r="V70" i="15"/>
  <c r="B45" i="10" s="1"/>
  <c r="U79" i="15" l="1"/>
  <c r="V78" i="15"/>
  <c r="I48" i="10"/>
  <c r="H49" i="10"/>
  <c r="E45" i="10"/>
  <c r="C45" i="10"/>
  <c r="F45" i="10"/>
  <c r="D45" i="10"/>
  <c r="B46" i="10"/>
  <c r="M47" i="10"/>
  <c r="L47" i="10"/>
  <c r="J47" i="10"/>
  <c r="K47" i="10"/>
  <c r="A48" i="10"/>
  <c r="D46" i="10" l="1"/>
  <c r="E46" i="10"/>
  <c r="C46" i="10"/>
  <c r="F46" i="10"/>
  <c r="I49" i="10"/>
  <c r="H50" i="10"/>
  <c r="J48" i="10"/>
  <c r="L48" i="10"/>
  <c r="M48" i="10"/>
  <c r="K48" i="10"/>
  <c r="A49" i="10"/>
  <c r="U80" i="15"/>
  <c r="V79" i="15"/>
  <c r="B47" i="10" s="1"/>
  <c r="F47" i="10" l="1"/>
  <c r="D47" i="10"/>
  <c r="C47" i="10"/>
  <c r="E47" i="10"/>
  <c r="U81" i="15"/>
  <c r="V80" i="15"/>
  <c r="B48" i="10" s="1"/>
  <c r="A50" i="10"/>
  <c r="K49" i="10"/>
  <c r="J49" i="10"/>
  <c r="M49" i="10"/>
  <c r="L49" i="10"/>
  <c r="I50" i="10"/>
  <c r="H51" i="10"/>
  <c r="E48" i="10" l="1"/>
  <c r="D48" i="10"/>
  <c r="F48" i="10"/>
  <c r="C48" i="10"/>
  <c r="A51" i="10"/>
  <c r="U82" i="15"/>
  <c r="V81" i="15"/>
  <c r="B49" i="10" s="1"/>
  <c r="M50" i="10"/>
  <c r="K50" i="10"/>
  <c r="L50" i="10"/>
  <c r="J50" i="10"/>
  <c r="H52" i="10"/>
  <c r="I51" i="10"/>
  <c r="I52" i="10" l="1"/>
  <c r="H53" i="10"/>
  <c r="U83" i="15"/>
  <c r="V82" i="15"/>
  <c r="M51" i="10"/>
  <c r="L51" i="10"/>
  <c r="K51" i="10"/>
  <c r="J51" i="10"/>
  <c r="F49" i="10"/>
  <c r="D49" i="10"/>
  <c r="C49" i="10"/>
  <c r="E49" i="10"/>
  <c r="B50" i="10"/>
  <c r="A52" i="10"/>
  <c r="D50" i="10" l="1"/>
  <c r="F50" i="10"/>
  <c r="E50" i="10"/>
  <c r="C50" i="10"/>
  <c r="U84" i="15"/>
  <c r="V83" i="15"/>
  <c r="B51" i="10" s="1"/>
  <c r="H54" i="10"/>
  <c r="I53" i="10"/>
  <c r="A53" i="10"/>
  <c r="K52" i="10"/>
  <c r="M52" i="10"/>
  <c r="L52" i="10"/>
  <c r="J52" i="10"/>
  <c r="A54" i="10" l="1"/>
  <c r="H55" i="10"/>
  <c r="I54" i="10"/>
  <c r="K53" i="10"/>
  <c r="L53" i="10"/>
  <c r="J53" i="10"/>
  <c r="M53" i="10"/>
  <c r="F51" i="10"/>
  <c r="E51" i="10"/>
  <c r="D51" i="10"/>
  <c r="C51" i="10"/>
  <c r="U85" i="15"/>
  <c r="V84" i="15"/>
  <c r="B52" i="10" s="1"/>
  <c r="F52" i="10" l="1"/>
  <c r="E52" i="10"/>
  <c r="C52" i="10"/>
  <c r="D52" i="10"/>
  <c r="U86" i="15"/>
  <c r="V85" i="15"/>
  <c r="M54" i="10"/>
  <c r="L54" i="10"/>
  <c r="J54" i="10"/>
  <c r="K54" i="10"/>
  <c r="I55" i="10"/>
  <c r="H56" i="10"/>
  <c r="B53" i="10"/>
  <c r="A55" i="10"/>
  <c r="M55" i="10" l="1"/>
  <c r="J55" i="10"/>
  <c r="L55" i="10"/>
  <c r="K55" i="10"/>
  <c r="D53" i="10"/>
  <c r="E53" i="10"/>
  <c r="F53" i="10"/>
  <c r="C53" i="10"/>
  <c r="U87" i="15"/>
  <c r="U88" i="15" s="1"/>
  <c r="V86" i="15"/>
  <c r="B54" i="10" s="1"/>
  <c r="H57" i="10"/>
  <c r="I56" i="10"/>
  <c r="A56" i="10"/>
  <c r="A57" i="10" l="1"/>
  <c r="I57" i="10"/>
  <c r="H58" i="10"/>
  <c r="K56" i="10"/>
  <c r="L56" i="10"/>
  <c r="M56" i="10"/>
  <c r="J56" i="10"/>
  <c r="F54" i="10"/>
  <c r="C54" i="10"/>
  <c r="E54" i="10"/>
  <c r="D54" i="10"/>
  <c r="U89" i="15"/>
  <c r="U90" i="15" s="1"/>
  <c r="U91" i="15" s="1"/>
  <c r="U92" i="15" s="1"/>
  <c r="U93" i="15" s="1"/>
  <c r="U94" i="15" s="1"/>
  <c r="U95" i="15" s="1"/>
  <c r="U96" i="15" s="1"/>
  <c r="V88" i="15"/>
  <c r="B55" i="10" s="1"/>
  <c r="F55" i="10" l="1"/>
  <c r="C55" i="10"/>
  <c r="D55" i="10"/>
  <c r="E55" i="10"/>
  <c r="M57" i="10"/>
  <c r="L57" i="10"/>
  <c r="K57" i="10"/>
  <c r="J57" i="10"/>
  <c r="A58" i="10"/>
  <c r="U97" i="15"/>
  <c r="V96" i="15"/>
  <c r="B56" i="10" s="1"/>
  <c r="H59" i="10"/>
  <c r="I58" i="10"/>
  <c r="F56" i="10" l="1"/>
  <c r="D56" i="10"/>
  <c r="C56" i="10"/>
  <c r="E56" i="10"/>
  <c r="I59" i="10"/>
  <c r="H60" i="10"/>
  <c r="U98" i="15"/>
  <c r="V97" i="15"/>
  <c r="B57" i="10" s="1"/>
  <c r="M58" i="10"/>
  <c r="K58" i="10"/>
  <c r="L58" i="10"/>
  <c r="J58" i="10"/>
  <c r="A59" i="10"/>
  <c r="U99" i="15" l="1"/>
  <c r="U100" i="15" s="1"/>
  <c r="U101" i="15" s="1"/>
  <c r="U102" i="15" s="1"/>
  <c r="U103" i="15" s="1"/>
  <c r="U104" i="15" s="1"/>
  <c r="U105" i="15" s="1"/>
  <c r="U106" i="15" s="1"/>
  <c r="U107" i="15" s="1"/>
  <c r="U108" i="15" s="1"/>
  <c r="U109" i="15" s="1"/>
  <c r="U110" i="15" s="1"/>
  <c r="U111" i="15" s="1"/>
  <c r="U112" i="15" s="1"/>
  <c r="V98" i="15"/>
  <c r="B58" i="10" s="1"/>
  <c r="A60" i="10"/>
  <c r="J59" i="10"/>
  <c r="M59" i="10"/>
  <c r="L59" i="10"/>
  <c r="K59" i="10"/>
  <c r="D57" i="10"/>
  <c r="F57" i="10"/>
  <c r="C57" i="10"/>
  <c r="E57" i="10"/>
  <c r="I60" i="10"/>
  <c r="H61" i="10"/>
  <c r="K60" i="10" l="1"/>
  <c r="M60" i="10"/>
  <c r="J60" i="10"/>
  <c r="L60" i="10"/>
  <c r="I61" i="10"/>
  <c r="H62" i="10"/>
  <c r="A61" i="10"/>
  <c r="F58" i="10"/>
  <c r="C58" i="10"/>
  <c r="E58" i="10"/>
  <c r="D58" i="10"/>
  <c r="U113" i="15"/>
  <c r="V112" i="15"/>
  <c r="B59" i="10" s="1"/>
  <c r="D59" i="10" l="1"/>
  <c r="C59" i="10"/>
  <c r="F59" i="10"/>
  <c r="E59" i="10"/>
  <c r="U114" i="15"/>
  <c r="V113" i="15"/>
  <c r="M61" i="10"/>
  <c r="L61" i="10"/>
  <c r="J61" i="10"/>
  <c r="K61" i="10"/>
  <c r="B60" i="10"/>
  <c r="A62" i="10"/>
  <c r="I62" i="10"/>
  <c r="H63" i="10"/>
  <c r="A63" i="10" l="1"/>
  <c r="L62" i="10"/>
  <c r="K62" i="10"/>
  <c r="J62" i="10"/>
  <c r="M62" i="10"/>
  <c r="U115" i="15"/>
  <c r="V114" i="15"/>
  <c r="B61" i="10" s="1"/>
  <c r="E60" i="10"/>
  <c r="F60" i="10"/>
  <c r="C60" i="10"/>
  <c r="D60" i="10"/>
  <c r="I63" i="10"/>
  <c r="H64" i="10"/>
  <c r="H65" i="10" l="1"/>
  <c r="I64" i="10"/>
  <c r="U116" i="15"/>
  <c r="V115" i="15"/>
  <c r="A64" i="10"/>
  <c r="M63" i="10"/>
  <c r="J63" i="10"/>
  <c r="L63" i="10"/>
  <c r="K63" i="10"/>
  <c r="F61" i="10"/>
  <c r="E61" i="10"/>
  <c r="D61" i="10"/>
  <c r="C61" i="10"/>
  <c r="B62" i="10"/>
  <c r="U117" i="15" l="1"/>
  <c r="V116" i="15"/>
  <c r="B63" i="10" s="1"/>
  <c r="J64" i="10"/>
  <c r="L64" i="10"/>
  <c r="M64" i="10"/>
  <c r="K64" i="10"/>
  <c r="A65" i="10"/>
  <c r="C62" i="10"/>
  <c r="D62" i="10"/>
  <c r="E62" i="10"/>
  <c r="F62" i="10"/>
  <c r="H66" i="10"/>
  <c r="I65" i="10"/>
  <c r="A66" i="10" l="1"/>
  <c r="M65" i="10"/>
  <c r="L65" i="10"/>
  <c r="K65" i="10"/>
  <c r="J65" i="10"/>
  <c r="I66" i="10"/>
  <c r="H67" i="10"/>
  <c r="F63" i="10"/>
  <c r="E63" i="10"/>
  <c r="C63" i="10"/>
  <c r="D63" i="10"/>
  <c r="U118" i="15"/>
  <c r="V117" i="15"/>
  <c r="B64" i="10" s="1"/>
  <c r="H68" i="10" l="1"/>
  <c r="I67" i="10"/>
  <c r="A67" i="10"/>
  <c r="D64" i="10"/>
  <c r="F64" i="10"/>
  <c r="E64" i="10"/>
  <c r="C64" i="10"/>
  <c r="U119" i="15"/>
  <c r="V118" i="15"/>
  <c r="B65" i="10" s="1"/>
  <c r="J66" i="10"/>
  <c r="M66" i="10"/>
  <c r="L66" i="10"/>
  <c r="K66" i="10"/>
  <c r="F65" i="10" l="1"/>
  <c r="E65" i="10"/>
  <c r="C65" i="10"/>
  <c r="D65" i="10"/>
  <c r="U120" i="15"/>
  <c r="U121" i="15" s="1"/>
  <c r="U122" i="15" s="1"/>
  <c r="U123" i="15" s="1"/>
  <c r="U124" i="15" s="1"/>
  <c r="U125" i="15" s="1"/>
  <c r="U126" i="15" s="1"/>
  <c r="U127" i="15" s="1"/>
  <c r="U128" i="15" s="1"/>
  <c r="U129" i="15" s="1"/>
  <c r="U130" i="15" s="1"/>
  <c r="U131" i="15" s="1"/>
  <c r="U132" i="15" s="1"/>
  <c r="U133" i="15" s="1"/>
  <c r="U134" i="15" s="1"/>
  <c r="U135" i="15" s="1"/>
  <c r="U136" i="15" s="1"/>
  <c r="U137" i="15" s="1"/>
  <c r="U138" i="15" s="1"/>
  <c r="U139" i="15" s="1"/>
  <c r="U140" i="15" s="1"/>
  <c r="V119" i="15"/>
  <c r="B66" i="10" s="1"/>
  <c r="K67" i="10"/>
  <c r="M67" i="10"/>
  <c r="J67" i="10"/>
  <c r="L67" i="10"/>
  <c r="A68" i="10"/>
  <c r="H69" i="10"/>
  <c r="I68" i="10"/>
  <c r="F66" i="10" l="1"/>
  <c r="D66" i="10"/>
  <c r="C66" i="10"/>
  <c r="E66" i="10"/>
  <c r="U141" i="15"/>
  <c r="U142" i="15" s="1"/>
  <c r="U143" i="15" s="1"/>
  <c r="U144" i="15" s="1"/>
  <c r="V140" i="15"/>
  <c r="B67" i="10" s="1"/>
  <c r="H70" i="10"/>
  <c r="I69" i="10"/>
  <c r="A69" i="10"/>
  <c r="M68" i="10"/>
  <c r="L68" i="10"/>
  <c r="K68" i="10"/>
  <c r="J68" i="10"/>
  <c r="A70" i="10" l="1"/>
  <c r="J69" i="10"/>
  <c r="L69" i="10"/>
  <c r="K69" i="10"/>
  <c r="M69" i="10"/>
  <c r="H71" i="10"/>
  <c r="I70" i="10"/>
  <c r="C67" i="10"/>
  <c r="E67" i="10"/>
  <c r="D67" i="10"/>
  <c r="F67" i="10"/>
  <c r="U145" i="15"/>
  <c r="U146" i="15" s="1"/>
  <c r="U147" i="15" s="1"/>
  <c r="U148" i="15" s="1"/>
  <c r="U149" i="15" s="1"/>
  <c r="U150" i="15" s="1"/>
  <c r="U151" i="15" s="1"/>
  <c r="V144" i="15"/>
  <c r="B68" i="10" s="1"/>
  <c r="F68" i="10" l="1"/>
  <c r="E68" i="10"/>
  <c r="D68" i="10"/>
  <c r="C68" i="10"/>
  <c r="U152" i="15"/>
  <c r="V151" i="15"/>
  <c r="H72" i="10"/>
  <c r="I71" i="10"/>
  <c r="M70" i="10"/>
  <c r="L70" i="10"/>
  <c r="J70" i="10"/>
  <c r="K70" i="10"/>
  <c r="B69" i="10"/>
  <c r="A71" i="10"/>
  <c r="C69" i="10" l="1"/>
  <c r="F69" i="10"/>
  <c r="D69" i="10"/>
  <c r="E69" i="10"/>
  <c r="J71" i="10"/>
  <c r="M71" i="10"/>
  <c r="L71" i="10"/>
  <c r="K71" i="10"/>
  <c r="A72" i="10"/>
  <c r="H73" i="10"/>
  <c r="I72" i="10"/>
  <c r="U153" i="15"/>
  <c r="V152" i="15"/>
  <c r="B70" i="10" s="1"/>
  <c r="U154" i="15" l="1"/>
  <c r="V153" i="15"/>
  <c r="F70" i="10"/>
  <c r="D70" i="10"/>
  <c r="C70" i="10"/>
  <c r="E70" i="10"/>
  <c r="B71" i="10"/>
  <c r="A73" i="10"/>
  <c r="M72" i="10"/>
  <c r="K72" i="10"/>
  <c r="L72" i="10"/>
  <c r="J72" i="10"/>
  <c r="I73" i="10"/>
  <c r="H74" i="10"/>
  <c r="A74" i="10" l="1"/>
  <c r="M73" i="10"/>
  <c r="L73" i="10"/>
  <c r="J73" i="10"/>
  <c r="K73" i="10"/>
  <c r="D71" i="10"/>
  <c r="E71" i="10"/>
  <c r="F71" i="10"/>
  <c r="C71" i="10"/>
  <c r="H75" i="10"/>
  <c r="I74" i="10"/>
  <c r="U155" i="15"/>
  <c r="V154" i="15"/>
  <c r="B72" i="10" s="1"/>
  <c r="F72" i="10" l="1"/>
  <c r="C72" i="10"/>
  <c r="E72" i="10"/>
  <c r="D72" i="10"/>
  <c r="U156" i="15"/>
  <c r="U157" i="15" s="1"/>
  <c r="U158" i="15" s="1"/>
  <c r="U159" i="15" s="1"/>
  <c r="U160" i="15" s="1"/>
  <c r="U161" i="15" s="1"/>
  <c r="U162" i="15" s="1"/>
  <c r="V155" i="15"/>
  <c r="K74" i="10"/>
  <c r="J74" i="10"/>
  <c r="M74" i="10"/>
  <c r="L74" i="10"/>
  <c r="H76" i="10"/>
  <c r="I75" i="10"/>
  <c r="A75" i="10"/>
  <c r="B73" i="10"/>
  <c r="A76" i="10" l="1"/>
  <c r="M75" i="10"/>
  <c r="J75" i="10"/>
  <c r="L75" i="10"/>
  <c r="K75" i="10"/>
  <c r="I76" i="10"/>
  <c r="H77" i="10"/>
  <c r="U163" i="15"/>
  <c r="V162" i="15"/>
  <c r="B74" i="10" s="1"/>
  <c r="F73" i="10"/>
  <c r="E73" i="10"/>
  <c r="D73" i="10"/>
  <c r="C73" i="10"/>
  <c r="J76" i="10" l="1"/>
  <c r="L76" i="10"/>
  <c r="K76" i="10"/>
  <c r="M76" i="10"/>
  <c r="U164" i="15"/>
  <c r="V163" i="15"/>
  <c r="C74" i="10"/>
  <c r="D74" i="10"/>
  <c r="E74" i="10"/>
  <c r="F74" i="10"/>
  <c r="H78" i="10"/>
  <c r="I77" i="10"/>
  <c r="B75" i="10"/>
  <c r="A77" i="10"/>
  <c r="F75" i="10" l="1"/>
  <c r="E75" i="10"/>
  <c r="D75" i="10"/>
  <c r="C75" i="10"/>
  <c r="M77" i="10"/>
  <c r="K77" i="10"/>
  <c r="L77" i="10"/>
  <c r="J77" i="10"/>
  <c r="H79" i="10"/>
  <c r="I78" i="10"/>
  <c r="U165" i="15"/>
  <c r="U166" i="15" s="1"/>
  <c r="U167" i="15" s="1"/>
  <c r="U168" i="15" s="1"/>
  <c r="U169" i="15" s="1"/>
  <c r="U170" i="15" s="1"/>
  <c r="U171" i="15" s="1"/>
  <c r="U172" i="15" s="1"/>
  <c r="U173" i="15" s="1"/>
  <c r="U174" i="15" s="1"/>
  <c r="U175" i="15" s="1"/>
  <c r="U176" i="15" s="1"/>
  <c r="U177" i="15" s="1"/>
  <c r="U178" i="15" s="1"/>
  <c r="U179" i="15" s="1"/>
  <c r="U180" i="15" s="1"/>
  <c r="U181" i="15" s="1"/>
  <c r="V164" i="15"/>
  <c r="B76" i="10" s="1"/>
  <c r="A78" i="10"/>
  <c r="E76" i="10" l="1"/>
  <c r="F76" i="10"/>
  <c r="D76" i="10"/>
  <c r="C76" i="10"/>
  <c r="J78" i="10"/>
  <c r="L78" i="10"/>
  <c r="K78" i="10"/>
  <c r="M78" i="10"/>
  <c r="U182" i="15"/>
  <c r="V181" i="15"/>
  <c r="B77" i="10" s="1"/>
  <c r="H80" i="10"/>
  <c r="I79" i="10"/>
  <c r="A79" i="10"/>
  <c r="D77" i="10" l="1"/>
  <c r="C77" i="10"/>
  <c r="F77" i="10"/>
  <c r="E77" i="10"/>
  <c r="U183" i="15"/>
  <c r="V182" i="15"/>
  <c r="B78" i="10" s="1"/>
  <c r="I80" i="10"/>
  <c r="H81" i="10"/>
  <c r="K79" i="10"/>
  <c r="L79" i="10"/>
  <c r="J79" i="10"/>
  <c r="M79" i="10"/>
  <c r="A80" i="10"/>
  <c r="A81" i="10" l="1"/>
  <c r="M80" i="10"/>
  <c r="K80" i="10"/>
  <c r="L80" i="10"/>
  <c r="J80" i="10"/>
  <c r="H82" i="10"/>
  <c r="I81" i="10"/>
  <c r="D78" i="10"/>
  <c r="E78" i="10"/>
  <c r="C78" i="10"/>
  <c r="F78" i="10"/>
  <c r="U184" i="15"/>
  <c r="U185" i="15" s="1"/>
  <c r="U186" i="15" s="1"/>
  <c r="U187" i="15" s="1"/>
  <c r="V183" i="15"/>
  <c r="B79" i="10" s="1"/>
  <c r="F79" i="10" l="1"/>
  <c r="C79" i="10"/>
  <c r="D79" i="10"/>
  <c r="E79" i="10"/>
  <c r="U188" i="15"/>
  <c r="V187" i="15"/>
  <c r="H83" i="10"/>
  <c r="I82" i="10"/>
  <c r="K81" i="10"/>
  <c r="J81" i="10"/>
  <c r="M81" i="10"/>
  <c r="L81" i="10"/>
  <c r="B80" i="10"/>
  <c r="A82" i="10"/>
  <c r="F80" i="10" l="1"/>
  <c r="E80" i="10"/>
  <c r="D80" i="10"/>
  <c r="C80" i="10"/>
  <c r="M82" i="10"/>
  <c r="J82" i="10"/>
  <c r="K82" i="10"/>
  <c r="L82" i="10"/>
  <c r="H84" i="10"/>
  <c r="I83" i="10"/>
  <c r="U189" i="15"/>
  <c r="V188" i="15"/>
  <c r="B81" i="10" s="1"/>
  <c r="A83" i="10"/>
  <c r="A84" i="10" l="1"/>
  <c r="D81" i="10"/>
  <c r="C81" i="10"/>
  <c r="E81" i="10"/>
  <c r="F81" i="10"/>
  <c r="U190" i="15"/>
  <c r="V189" i="15"/>
  <c r="B82" i="10" s="1"/>
  <c r="H85" i="10"/>
  <c r="I84" i="10"/>
  <c r="L83" i="10"/>
  <c r="J83" i="10"/>
  <c r="M83" i="10"/>
  <c r="K83" i="10"/>
  <c r="K84" i="10" l="1"/>
  <c r="M84" i="10"/>
  <c r="L84" i="10"/>
  <c r="J84" i="10"/>
  <c r="I85" i="10"/>
  <c r="H86" i="10"/>
  <c r="D82" i="10"/>
  <c r="F82" i="10"/>
  <c r="C82" i="10"/>
  <c r="E82" i="10"/>
  <c r="U191" i="15"/>
  <c r="U192" i="15" s="1"/>
  <c r="U193" i="15" s="1"/>
  <c r="U194" i="15" s="1"/>
  <c r="U195" i="15" s="1"/>
  <c r="U196" i="15" s="1"/>
  <c r="U197" i="15" s="1"/>
  <c r="U198" i="15" s="1"/>
  <c r="U199" i="15" s="1"/>
  <c r="U200" i="15" s="1"/>
  <c r="U201" i="15" s="1"/>
  <c r="U202" i="15" s="1"/>
  <c r="U203" i="15" s="1"/>
  <c r="U204" i="15" s="1"/>
  <c r="U205" i="15" s="1"/>
  <c r="U206" i="15" s="1"/>
  <c r="U207" i="15" s="1"/>
  <c r="U208" i="15" s="1"/>
  <c r="U209" i="15" s="1"/>
  <c r="U210" i="15" s="1"/>
  <c r="U211" i="15" s="1"/>
  <c r="U212" i="15" s="1"/>
  <c r="U213" i="15" s="1"/>
  <c r="U214" i="15" s="1"/>
  <c r="U215" i="15" s="1"/>
  <c r="U216" i="15" s="1"/>
  <c r="V190" i="15"/>
  <c r="B83" i="10" s="1"/>
  <c r="A85" i="10"/>
  <c r="E83" i="10" l="1"/>
  <c r="D83" i="10"/>
  <c r="F83" i="10"/>
  <c r="C83" i="10"/>
  <c r="A86" i="10"/>
  <c r="U217" i="15"/>
  <c r="V216" i="15"/>
  <c r="B84" i="10" s="1"/>
  <c r="I86" i="10"/>
  <c r="H87" i="10"/>
  <c r="M85" i="10"/>
  <c r="J85" i="10"/>
  <c r="K85" i="10"/>
  <c r="L85" i="10"/>
  <c r="I87" i="10" l="1"/>
  <c r="H88" i="10"/>
  <c r="D84" i="10"/>
  <c r="C84" i="10"/>
  <c r="F84" i="10"/>
  <c r="E84" i="10"/>
  <c r="U218" i="15"/>
  <c r="V217" i="15"/>
  <c r="B85" i="10" s="1"/>
  <c r="K86" i="10"/>
  <c r="L86" i="10"/>
  <c r="J86" i="10"/>
  <c r="M86" i="10"/>
  <c r="A87" i="10"/>
  <c r="A88" i="10" l="1"/>
  <c r="D85" i="10"/>
  <c r="E85" i="10"/>
  <c r="F85" i="10"/>
  <c r="C85" i="10"/>
  <c r="U219" i="15"/>
  <c r="U220" i="15" s="1"/>
  <c r="U221" i="15" s="1"/>
  <c r="U222" i="15" s="1"/>
  <c r="U223" i="15" s="1"/>
  <c r="U224" i="15" s="1"/>
  <c r="U225" i="15" s="1"/>
  <c r="U226" i="15" s="1"/>
  <c r="U227" i="15" s="1"/>
  <c r="U228" i="15" s="1"/>
  <c r="U229" i="15" s="1"/>
  <c r="U230" i="15" s="1"/>
  <c r="U231" i="15" s="1"/>
  <c r="U232" i="15" s="1"/>
  <c r="U233" i="15" s="1"/>
  <c r="U234" i="15" s="1"/>
  <c r="U235" i="15" s="1"/>
  <c r="U236" i="15" s="1"/>
  <c r="U237" i="15" s="1"/>
  <c r="U238" i="15" s="1"/>
  <c r="U239" i="15" s="1"/>
  <c r="U240" i="15" s="1"/>
  <c r="U241" i="15" s="1"/>
  <c r="U242" i="15" s="1"/>
  <c r="U243" i="15" s="1"/>
  <c r="V218" i="15"/>
  <c r="B86" i="10" s="1"/>
  <c r="I88" i="10"/>
  <c r="H89" i="10"/>
  <c r="L87" i="10"/>
  <c r="K87" i="10"/>
  <c r="M87" i="10"/>
  <c r="J87" i="10"/>
  <c r="H90" i="10" l="1"/>
  <c r="I89" i="10"/>
  <c r="F86" i="10"/>
  <c r="E86" i="10"/>
  <c r="D86" i="10"/>
  <c r="C86" i="10"/>
  <c r="K88" i="10"/>
  <c r="M88" i="10"/>
  <c r="L88" i="10"/>
  <c r="J88" i="10"/>
  <c r="U244" i="15"/>
  <c r="U245" i="15" s="1"/>
  <c r="U246" i="15" s="1"/>
  <c r="U247" i="15" s="1"/>
  <c r="U248" i="15" s="1"/>
  <c r="U249" i="15" s="1"/>
  <c r="U250" i="15" s="1"/>
  <c r="V243" i="15"/>
  <c r="B87" i="10"/>
  <c r="A89" i="10"/>
  <c r="U251" i="15" l="1"/>
  <c r="U252" i="15" s="1"/>
  <c r="U253" i="15" s="1"/>
  <c r="U254" i="15" s="1"/>
  <c r="V250" i="15"/>
  <c r="B88" i="10" s="1"/>
  <c r="D87" i="10"/>
  <c r="F87" i="10"/>
  <c r="E87" i="10"/>
  <c r="C87" i="10"/>
  <c r="M89" i="10"/>
  <c r="K89" i="10"/>
  <c r="J89" i="10"/>
  <c r="L89" i="10"/>
  <c r="A90" i="10"/>
  <c r="H91" i="10"/>
  <c r="I90" i="10"/>
  <c r="A91" i="10" l="1"/>
  <c r="M90" i="10"/>
  <c r="L90" i="10"/>
  <c r="K90" i="10"/>
  <c r="J90" i="10"/>
  <c r="H92" i="10"/>
  <c r="I91" i="10"/>
  <c r="F88" i="10"/>
  <c r="D88" i="10"/>
  <c r="C88" i="10"/>
  <c r="E88" i="10"/>
  <c r="U255" i="15"/>
  <c r="V254" i="15"/>
  <c r="B89" i="10" s="1"/>
  <c r="D89" i="10" l="1"/>
  <c r="F89" i="10"/>
  <c r="E89" i="10"/>
  <c r="C89" i="10"/>
  <c r="U256" i="15"/>
  <c r="V255" i="15"/>
  <c r="H93" i="10"/>
  <c r="I92" i="10"/>
  <c r="K91" i="10"/>
  <c r="L91" i="10"/>
  <c r="M91" i="10"/>
  <c r="J91" i="10"/>
  <c r="B90" i="10"/>
  <c r="A92" i="10"/>
  <c r="A93" i="10" l="1"/>
  <c r="E90" i="10"/>
  <c r="D90" i="10"/>
  <c r="C90" i="10"/>
  <c r="F90" i="10"/>
  <c r="M92" i="10"/>
  <c r="L92" i="10"/>
  <c r="J92" i="10"/>
  <c r="K92" i="10"/>
  <c r="I93" i="10"/>
  <c r="H94" i="10"/>
  <c r="U257" i="15"/>
  <c r="U258" i="15" s="1"/>
  <c r="U259" i="15" s="1"/>
  <c r="U260" i="15" s="1"/>
  <c r="U261" i="15" s="1"/>
  <c r="U262" i="15" s="1"/>
  <c r="U263" i="15" s="1"/>
  <c r="U264" i="15" s="1"/>
  <c r="U265" i="15" s="1"/>
  <c r="U266" i="15" s="1"/>
  <c r="U267" i="15" s="1"/>
  <c r="V256" i="15"/>
  <c r="B91" i="10" s="1"/>
  <c r="M93" i="10" l="1"/>
  <c r="L93" i="10"/>
  <c r="J93" i="10"/>
  <c r="K93" i="10"/>
  <c r="F91" i="10"/>
  <c r="D91" i="10"/>
  <c r="E91" i="10"/>
  <c r="C91" i="10"/>
  <c r="U268" i="15"/>
  <c r="U269" i="15" s="1"/>
  <c r="U270" i="15" s="1"/>
  <c r="U271" i="15" s="1"/>
  <c r="U272" i="15" s="1"/>
  <c r="U273" i="15" s="1"/>
  <c r="V267" i="15"/>
  <c r="I94" i="10"/>
  <c r="H95" i="10"/>
  <c r="B92" i="10"/>
  <c r="A94" i="10"/>
  <c r="A95" i="10" l="1"/>
  <c r="D92" i="10"/>
  <c r="E92" i="10"/>
  <c r="F92" i="10"/>
  <c r="C92" i="10"/>
  <c r="I95" i="10"/>
  <c r="H96" i="10"/>
  <c r="L94" i="10"/>
  <c r="K94" i="10"/>
  <c r="M94" i="10"/>
  <c r="J94" i="10"/>
  <c r="U274" i="15"/>
  <c r="U275" i="15" s="1"/>
  <c r="U276" i="15" s="1"/>
  <c r="U277" i="15" s="1"/>
  <c r="U278" i="15" s="1"/>
  <c r="U279" i="15" s="1"/>
  <c r="U280" i="15" s="1"/>
  <c r="U281" i="15" s="1"/>
  <c r="U282" i="15" s="1"/>
  <c r="U283" i="15" s="1"/>
  <c r="U284" i="15" s="1"/>
  <c r="U285" i="15" s="1"/>
  <c r="U286" i="15" s="1"/>
  <c r="U287" i="15" s="1"/>
  <c r="U288" i="15" s="1"/>
  <c r="U289" i="15" s="1"/>
  <c r="U290" i="15" s="1"/>
  <c r="U291" i="15" s="1"/>
  <c r="U292" i="15" s="1"/>
  <c r="U293" i="15" s="1"/>
  <c r="U294" i="15" s="1"/>
  <c r="U295" i="15" s="1"/>
  <c r="U296" i="15" s="1"/>
  <c r="V273" i="15"/>
  <c r="B93" i="10" s="1"/>
  <c r="F93" i="10" l="1"/>
  <c r="D93" i="10"/>
  <c r="E93" i="10"/>
  <c r="C93" i="10"/>
  <c r="U297" i="15"/>
  <c r="V296" i="15"/>
  <c r="B94" i="10" s="1"/>
  <c r="H97" i="10"/>
  <c r="I96" i="10"/>
  <c r="K95" i="10"/>
  <c r="M95" i="10"/>
  <c r="L95" i="10"/>
  <c r="J95" i="10"/>
  <c r="A96" i="10"/>
  <c r="A97" i="10" l="1"/>
  <c r="M96" i="10"/>
  <c r="K96" i="10"/>
  <c r="L96" i="10"/>
  <c r="J96" i="10"/>
  <c r="H98" i="10"/>
  <c r="I97" i="10"/>
  <c r="D94" i="10"/>
  <c r="F94" i="10"/>
  <c r="E94" i="10"/>
  <c r="C94" i="10"/>
  <c r="U298" i="15"/>
  <c r="U299" i="15" s="1"/>
  <c r="U300" i="15" s="1"/>
  <c r="U301" i="15" s="1"/>
  <c r="U302" i="15" s="1"/>
  <c r="U303" i="15" s="1"/>
  <c r="U304" i="15" s="1"/>
  <c r="U305" i="15" s="1"/>
  <c r="V297" i="15"/>
  <c r="B95" i="10" s="1"/>
  <c r="I98" i="10" l="1"/>
  <c r="H99" i="10"/>
  <c r="J97" i="10"/>
  <c r="M97" i="10"/>
  <c r="L97" i="10"/>
  <c r="K97" i="10"/>
  <c r="A98" i="10"/>
  <c r="E95" i="10"/>
  <c r="C95" i="10"/>
  <c r="F95" i="10"/>
  <c r="D95" i="10"/>
  <c r="U306" i="15"/>
  <c r="V305" i="15"/>
  <c r="B96" i="10" s="1"/>
  <c r="D96" i="10" l="1"/>
  <c r="F96" i="10"/>
  <c r="E96" i="10"/>
  <c r="C96" i="10"/>
  <c r="A99" i="10"/>
  <c r="H100" i="10"/>
  <c r="I99" i="10"/>
  <c r="U307" i="15"/>
  <c r="V306" i="15"/>
  <c r="B97" i="10" s="1"/>
  <c r="L98" i="10"/>
  <c r="K98" i="10"/>
  <c r="J98" i="10"/>
  <c r="M98" i="10"/>
  <c r="L99" i="10" l="1"/>
  <c r="K99" i="10"/>
  <c r="M99" i="10"/>
  <c r="J99" i="10"/>
  <c r="A100" i="10"/>
  <c r="E97" i="10"/>
  <c r="F97" i="10"/>
  <c r="D97" i="10"/>
  <c r="C97" i="10"/>
  <c r="U308" i="15"/>
  <c r="U309" i="15" s="1"/>
  <c r="U310" i="15" s="1"/>
  <c r="V307" i="15"/>
  <c r="B98" i="10" s="1"/>
  <c r="I100" i="10"/>
  <c r="H101" i="10"/>
  <c r="E98" i="10" l="1"/>
  <c r="F98" i="10"/>
  <c r="C98" i="10"/>
  <c r="D98" i="10"/>
  <c r="J100" i="10"/>
  <c r="M100" i="10"/>
  <c r="L100" i="10"/>
  <c r="K100" i="10"/>
  <c r="U311" i="15"/>
  <c r="V310" i="15"/>
  <c r="I101" i="10"/>
  <c r="H102" i="10"/>
  <c r="B99" i="10"/>
  <c r="A101" i="10"/>
  <c r="A102" i="10" l="1"/>
  <c r="D99" i="10"/>
  <c r="E99" i="10"/>
  <c r="F99" i="10"/>
  <c r="C99" i="10"/>
  <c r="H103" i="10"/>
  <c r="I102" i="10"/>
  <c r="U312" i="15"/>
  <c r="V311" i="15"/>
  <c r="B100" i="10" s="1"/>
  <c r="L101" i="10"/>
  <c r="K101" i="10"/>
  <c r="J101" i="10"/>
  <c r="M101" i="10"/>
  <c r="F100" i="10" l="1"/>
  <c r="D100" i="10"/>
  <c r="C100" i="10"/>
  <c r="E100" i="10"/>
  <c r="U313" i="15"/>
  <c r="V312" i="15"/>
  <c r="I103" i="10"/>
  <c r="H104" i="10"/>
  <c r="K102" i="10"/>
  <c r="M102" i="10"/>
  <c r="J102" i="10"/>
  <c r="L102" i="10"/>
  <c r="A103" i="10"/>
  <c r="B101" i="10"/>
  <c r="F101" i="10" l="1"/>
  <c r="D101" i="10"/>
  <c r="E101" i="10"/>
  <c r="C101" i="10"/>
  <c r="A104" i="10"/>
  <c r="I104" i="10"/>
  <c r="H105" i="10"/>
  <c r="M103" i="10"/>
  <c r="L103" i="10"/>
  <c r="K103" i="10"/>
  <c r="J103" i="10"/>
  <c r="U314" i="15"/>
  <c r="U315" i="15" s="1"/>
  <c r="V313" i="15"/>
  <c r="B102" i="10" s="1"/>
  <c r="U316" i="15" l="1"/>
  <c r="V315" i="15"/>
  <c r="B103" i="10" s="1"/>
  <c r="E102" i="10"/>
  <c r="D102" i="10"/>
  <c r="C102" i="10"/>
  <c r="F102" i="10"/>
  <c r="I105" i="10"/>
  <c r="H106" i="10"/>
  <c r="L104" i="10"/>
  <c r="J104" i="10"/>
  <c r="M104" i="10"/>
  <c r="K104" i="10"/>
  <c r="A105" i="10"/>
  <c r="A106" i="10" l="1"/>
  <c r="H107" i="10"/>
  <c r="I106" i="10"/>
  <c r="L105" i="10"/>
  <c r="J105" i="10"/>
  <c r="M105" i="10"/>
  <c r="K105" i="10"/>
  <c r="D103" i="10"/>
  <c r="C103" i="10"/>
  <c r="E103" i="10"/>
  <c r="F103" i="10"/>
  <c r="U317" i="15"/>
  <c r="V316" i="15"/>
  <c r="B104" i="10" s="1"/>
  <c r="E104" i="10" l="1"/>
  <c r="F104" i="10"/>
  <c r="C104" i="10"/>
  <c r="D104" i="10"/>
  <c r="U318" i="15"/>
  <c r="U319" i="15" s="1"/>
  <c r="U320" i="15" s="1"/>
  <c r="V317" i="15"/>
  <c r="L106" i="10"/>
  <c r="M106" i="10"/>
  <c r="K106" i="10"/>
  <c r="J106" i="10"/>
  <c r="I107" i="10"/>
  <c r="H108" i="10"/>
  <c r="A107" i="10"/>
  <c r="B105" i="10"/>
  <c r="F105" i="10" l="1"/>
  <c r="E105" i="10"/>
  <c r="C105" i="10"/>
  <c r="D105" i="10"/>
  <c r="A108" i="10"/>
  <c r="M107" i="10"/>
  <c r="J107" i="10"/>
  <c r="L107" i="10"/>
  <c r="K107" i="10"/>
  <c r="I108" i="10"/>
  <c r="H109" i="10"/>
  <c r="U321" i="15"/>
  <c r="V320" i="15"/>
  <c r="B106" i="10" s="1"/>
  <c r="H110" i="10" l="1"/>
  <c r="I109" i="10"/>
  <c r="D106" i="10"/>
  <c r="C106" i="10"/>
  <c r="E106" i="10"/>
  <c r="F106" i="10"/>
  <c r="U322" i="15"/>
  <c r="U323" i="15" s="1"/>
  <c r="U324" i="15" s="1"/>
  <c r="U325" i="15" s="1"/>
  <c r="U326" i="15" s="1"/>
  <c r="U327" i="15" s="1"/>
  <c r="U328" i="15" s="1"/>
  <c r="V321" i="15"/>
  <c r="B107" i="10" s="1"/>
  <c r="A109" i="10"/>
  <c r="J108" i="10"/>
  <c r="L108" i="10"/>
  <c r="M108" i="10"/>
  <c r="K108" i="10"/>
  <c r="F107" i="10" l="1"/>
  <c r="E107" i="10"/>
  <c r="D107" i="10"/>
  <c r="C107" i="10"/>
  <c r="A110" i="10"/>
  <c r="U329" i="15"/>
  <c r="V328" i="15"/>
  <c r="B108" i="10" s="1"/>
  <c r="K109" i="10"/>
  <c r="M109" i="10"/>
  <c r="L109" i="10"/>
  <c r="J109" i="10"/>
  <c r="I110" i="10"/>
  <c r="H111" i="10"/>
  <c r="M110" i="10" l="1"/>
  <c r="L110" i="10"/>
  <c r="K110" i="10"/>
  <c r="J110" i="10"/>
  <c r="H112" i="10"/>
  <c r="I111" i="10"/>
  <c r="E108" i="10"/>
  <c r="D108" i="10"/>
  <c r="F108" i="10"/>
  <c r="C108" i="10"/>
  <c r="U330" i="15"/>
  <c r="V329" i="15"/>
  <c r="B109" i="10" s="1"/>
  <c r="A111" i="10"/>
  <c r="E109" i="10" l="1"/>
  <c r="F109" i="10"/>
  <c r="D109" i="10"/>
  <c r="C109" i="10"/>
  <c r="A112" i="10"/>
  <c r="U331" i="15"/>
  <c r="V330" i="15"/>
  <c r="B110" i="10" s="1"/>
  <c r="L111" i="10"/>
  <c r="M111" i="10"/>
  <c r="J111" i="10"/>
  <c r="K111" i="10"/>
  <c r="H113" i="10"/>
  <c r="I112" i="10"/>
  <c r="F110" i="10" l="1"/>
  <c r="D110" i="10"/>
  <c r="E110" i="10"/>
  <c r="C110" i="10"/>
  <c r="U332" i="15"/>
  <c r="U333" i="15" s="1"/>
  <c r="V331" i="15"/>
  <c r="B111" i="10" s="1"/>
  <c r="M112" i="10"/>
  <c r="L112" i="10"/>
  <c r="K112" i="10"/>
  <c r="J112" i="10"/>
  <c r="H114" i="10"/>
  <c r="I113" i="10"/>
  <c r="B112" i="10"/>
  <c r="A113" i="10"/>
  <c r="F112" i="10" l="1"/>
  <c r="E112" i="10"/>
  <c r="D112" i="10"/>
  <c r="C112" i="10"/>
  <c r="B113" i="10"/>
  <c r="A114" i="10"/>
  <c r="I114" i="10"/>
  <c r="H115" i="10"/>
  <c r="J113" i="10"/>
  <c r="L113" i="10"/>
  <c r="M113" i="10"/>
  <c r="K113" i="10"/>
  <c r="C111" i="10"/>
  <c r="F111" i="10"/>
  <c r="E111" i="10"/>
  <c r="D111" i="10"/>
  <c r="I115" i="10" l="1"/>
  <c r="H116" i="10"/>
  <c r="A115" i="10"/>
  <c r="B114" i="10"/>
  <c r="M114" i="10"/>
  <c r="L114" i="10"/>
  <c r="J114" i="10"/>
  <c r="K114" i="10"/>
  <c r="D113" i="10"/>
  <c r="F113" i="10"/>
  <c r="C113" i="10"/>
  <c r="E113" i="10"/>
  <c r="A116" i="10" l="1"/>
  <c r="B115" i="10"/>
  <c r="F114" i="10"/>
  <c r="E114" i="10"/>
  <c r="D114" i="10"/>
  <c r="C114" i="10"/>
  <c r="H117" i="10"/>
  <c r="I116" i="10"/>
  <c r="J115" i="10"/>
  <c r="M115" i="10"/>
  <c r="L115" i="10"/>
  <c r="K115" i="10"/>
  <c r="K116" i="10" l="1"/>
  <c r="M116" i="10"/>
  <c r="J116" i="10"/>
  <c r="L116" i="10"/>
  <c r="I117" i="10"/>
  <c r="H118" i="10"/>
  <c r="D115" i="10"/>
  <c r="E115" i="10"/>
  <c r="C115" i="10"/>
  <c r="F115" i="10"/>
  <c r="B116" i="10"/>
  <c r="A117" i="10"/>
  <c r="C116" i="10" l="1"/>
  <c r="F116" i="10"/>
  <c r="E116" i="10"/>
  <c r="D116" i="10"/>
  <c r="M117" i="10"/>
  <c r="L117" i="10"/>
  <c r="K117" i="10"/>
  <c r="J117" i="10"/>
  <c r="A118" i="10"/>
  <c r="B117" i="10"/>
  <c r="I118" i="10"/>
  <c r="H119" i="10"/>
  <c r="H120" i="10" l="1"/>
  <c r="I119" i="10"/>
  <c r="A119" i="10"/>
  <c r="B118" i="10"/>
  <c r="F117" i="10"/>
  <c r="E117" i="10"/>
  <c r="D117" i="10"/>
  <c r="C117" i="10"/>
  <c r="J118" i="10"/>
  <c r="L118" i="10"/>
  <c r="M118" i="10"/>
  <c r="K118" i="10"/>
  <c r="C118" i="10" l="1"/>
  <c r="D118" i="10"/>
  <c r="F118" i="10"/>
  <c r="E118" i="10"/>
  <c r="B119" i="10"/>
  <c r="A120" i="10"/>
  <c r="M119" i="10"/>
  <c r="J119" i="10"/>
  <c r="L119" i="10"/>
  <c r="K119" i="10"/>
  <c r="H121" i="10"/>
  <c r="I120" i="10"/>
  <c r="J120" i="10" l="1"/>
  <c r="L120" i="10"/>
  <c r="K120" i="10"/>
  <c r="M120" i="10"/>
  <c r="F119" i="10"/>
  <c r="E119" i="10"/>
  <c r="D119" i="10"/>
  <c r="C119" i="10"/>
  <c r="H122" i="10"/>
  <c r="I121" i="10"/>
  <c r="A121" i="10"/>
  <c r="B120" i="10"/>
  <c r="B121" i="10" l="1"/>
  <c r="A122" i="10"/>
  <c r="D120" i="10"/>
  <c r="E120" i="10"/>
  <c r="F120" i="10"/>
  <c r="C120" i="10"/>
  <c r="M121" i="10"/>
  <c r="K121" i="10"/>
  <c r="L121" i="10"/>
  <c r="J121" i="10"/>
  <c r="I122" i="10"/>
  <c r="H123" i="10"/>
  <c r="K122" i="10" l="1"/>
  <c r="M122" i="10"/>
  <c r="L122" i="10"/>
  <c r="J122" i="10"/>
  <c r="H124" i="10"/>
  <c r="I123" i="10"/>
  <c r="B122" i="10"/>
  <c r="A123" i="10"/>
  <c r="F121" i="10"/>
  <c r="C121" i="10"/>
  <c r="E121" i="10"/>
  <c r="D121" i="10"/>
  <c r="A124" i="10" l="1"/>
  <c r="B123" i="10"/>
  <c r="K123" i="10"/>
  <c r="J123" i="10"/>
  <c r="L123" i="10"/>
  <c r="M123" i="10"/>
  <c r="F122" i="10"/>
  <c r="D122" i="10"/>
  <c r="E122" i="10"/>
  <c r="C122" i="10"/>
  <c r="H125" i="10"/>
  <c r="I124" i="10"/>
  <c r="M124" i="10" l="1"/>
  <c r="L124" i="10"/>
  <c r="K124" i="10"/>
  <c r="J124" i="10"/>
  <c r="C123" i="10"/>
  <c r="E123" i="10"/>
  <c r="D123" i="10"/>
  <c r="F123" i="10"/>
  <c r="H126" i="10"/>
  <c r="I125" i="10"/>
  <c r="A125" i="10"/>
  <c r="B124" i="10"/>
  <c r="F124" i="10" l="1"/>
  <c r="D124" i="10"/>
  <c r="E124" i="10"/>
  <c r="C124" i="10"/>
  <c r="H127" i="10"/>
  <c r="I126" i="10"/>
  <c r="A126" i="10"/>
  <c r="B125" i="10"/>
  <c r="J125" i="10"/>
  <c r="L125" i="10"/>
  <c r="M125" i="10"/>
  <c r="K125" i="10"/>
  <c r="D125" i="10" l="1"/>
  <c r="F125" i="10"/>
  <c r="C125" i="10"/>
  <c r="E125" i="10"/>
  <c r="B126" i="10"/>
  <c r="A127" i="10"/>
  <c r="M126" i="10"/>
  <c r="J126" i="10"/>
  <c r="K126" i="10"/>
  <c r="L126" i="10"/>
  <c r="I127" i="10"/>
  <c r="H128" i="10"/>
  <c r="I128" i="10" l="1"/>
  <c r="H129" i="10"/>
  <c r="J127" i="10"/>
  <c r="M127" i="10"/>
  <c r="L127" i="10"/>
  <c r="K127" i="10"/>
  <c r="B127" i="10"/>
  <c r="A128" i="10"/>
  <c r="D126" i="10"/>
  <c r="E126" i="10"/>
  <c r="C126" i="10"/>
  <c r="F126" i="10"/>
  <c r="D127" i="10" l="1"/>
  <c r="F127" i="10"/>
  <c r="C127" i="10"/>
  <c r="E127" i="10"/>
  <c r="I129" i="10"/>
  <c r="H130" i="10"/>
  <c r="B128" i="10"/>
  <c r="A129" i="10"/>
  <c r="K128" i="10"/>
  <c r="J128" i="10"/>
  <c r="M128" i="10"/>
  <c r="L128" i="10"/>
  <c r="F128" i="10" l="1"/>
  <c r="C128" i="10"/>
  <c r="E128" i="10"/>
  <c r="D128" i="10"/>
  <c r="A130" i="10"/>
  <c r="B129" i="10"/>
  <c r="H131" i="10"/>
  <c r="I130" i="10"/>
  <c r="J129" i="10"/>
  <c r="M129" i="10"/>
  <c r="K129" i="10"/>
  <c r="L129" i="10"/>
  <c r="K130" i="10" l="1"/>
  <c r="J130" i="10"/>
  <c r="L130" i="10"/>
  <c r="M130" i="10"/>
  <c r="H132" i="10"/>
  <c r="I131" i="10"/>
  <c r="A131" i="10"/>
  <c r="B130" i="10"/>
  <c r="F129" i="10"/>
  <c r="E129" i="10"/>
  <c r="D129" i="10"/>
  <c r="C129" i="10"/>
  <c r="D130" i="10" l="1"/>
  <c r="C130" i="10"/>
  <c r="F130" i="10"/>
  <c r="E130" i="10"/>
  <c r="A132" i="10"/>
  <c r="B131" i="10"/>
  <c r="M131" i="10"/>
  <c r="K131" i="10"/>
  <c r="J131" i="10"/>
  <c r="L131" i="10"/>
  <c r="I132" i="10"/>
  <c r="H133" i="10"/>
  <c r="H134" i="10" l="1"/>
  <c r="I133" i="10"/>
  <c r="D131" i="10"/>
  <c r="E131" i="10"/>
  <c r="C131" i="10"/>
  <c r="F131" i="10"/>
  <c r="A133" i="10"/>
  <c r="B132" i="10"/>
  <c r="L132" i="10"/>
  <c r="K132" i="10"/>
  <c r="M132" i="10"/>
  <c r="J132" i="10"/>
  <c r="C132" i="10" l="1"/>
  <c r="F132" i="10"/>
  <c r="E132" i="10"/>
  <c r="D132" i="10"/>
  <c r="B133" i="10"/>
  <c r="A134" i="10"/>
  <c r="K133" i="10"/>
  <c r="J133" i="10"/>
  <c r="L133" i="10"/>
  <c r="M133" i="10"/>
  <c r="H135" i="10"/>
  <c r="I134" i="10"/>
  <c r="M134" i="10" l="1"/>
  <c r="L134" i="10"/>
  <c r="J134" i="10"/>
  <c r="K134" i="10"/>
  <c r="A135" i="10"/>
  <c r="B134" i="10"/>
  <c r="D133" i="10"/>
  <c r="F133" i="10"/>
  <c r="E133" i="10"/>
  <c r="C133" i="10"/>
  <c r="H136" i="10"/>
  <c r="I135" i="10"/>
  <c r="D134" i="10" l="1"/>
  <c r="F134" i="10"/>
  <c r="E134" i="10"/>
  <c r="C134" i="10"/>
  <c r="I136" i="10"/>
  <c r="H137" i="10"/>
  <c r="K135" i="10"/>
  <c r="M135" i="10"/>
  <c r="J135" i="10"/>
  <c r="L135" i="10"/>
  <c r="A136" i="10"/>
  <c r="B135" i="10"/>
  <c r="A137" i="10" l="1"/>
  <c r="B136" i="10"/>
  <c r="F135" i="10"/>
  <c r="D135" i="10"/>
  <c r="E135" i="10"/>
  <c r="C135" i="10"/>
  <c r="H138" i="10"/>
  <c r="I137" i="10"/>
  <c r="M136" i="10"/>
  <c r="L136" i="10"/>
  <c r="K136" i="10"/>
  <c r="J136" i="10"/>
  <c r="H139" i="10" l="1"/>
  <c r="I138" i="10"/>
  <c r="D136" i="10"/>
  <c r="F136" i="10"/>
  <c r="C136" i="10"/>
  <c r="E136" i="10"/>
  <c r="K137" i="10"/>
  <c r="L137" i="10"/>
  <c r="J137" i="10"/>
  <c r="M137" i="10"/>
  <c r="A138" i="10"/>
  <c r="B137" i="10"/>
  <c r="F137" i="10" l="1"/>
  <c r="E137" i="10"/>
  <c r="D137" i="10"/>
  <c r="C137" i="10"/>
  <c r="B138" i="10"/>
  <c r="A139" i="10"/>
  <c r="M138" i="10"/>
  <c r="K138" i="10"/>
  <c r="J138" i="10"/>
  <c r="L138" i="10"/>
  <c r="I139" i="10"/>
  <c r="H140" i="10"/>
  <c r="H141" i="10" l="1"/>
  <c r="I140" i="10"/>
  <c r="D138" i="10"/>
  <c r="F138" i="10"/>
  <c r="C138" i="10"/>
  <c r="E138" i="10"/>
  <c r="L139" i="10"/>
  <c r="J139" i="10"/>
  <c r="M139" i="10"/>
  <c r="K139" i="10"/>
  <c r="A140" i="10"/>
  <c r="B139" i="10"/>
  <c r="E139" i="10" l="1"/>
  <c r="C139" i="10"/>
  <c r="D139" i="10"/>
  <c r="F139" i="10"/>
  <c r="B140" i="10"/>
  <c r="A141" i="10"/>
  <c r="K140" i="10"/>
  <c r="M140" i="10"/>
  <c r="J140" i="10"/>
  <c r="L140" i="10"/>
  <c r="H142" i="10"/>
  <c r="I141" i="10"/>
  <c r="A142" i="10" l="1"/>
  <c r="B141" i="10"/>
  <c r="I142" i="10"/>
  <c r="H143" i="10"/>
  <c r="C140" i="10"/>
  <c r="E140" i="10"/>
  <c r="F140" i="10"/>
  <c r="D140" i="10"/>
  <c r="J141" i="10"/>
  <c r="L141" i="10"/>
  <c r="K141" i="10"/>
  <c r="M141" i="10"/>
  <c r="I143" i="10" l="1"/>
  <c r="H144" i="10"/>
  <c r="L142" i="10"/>
  <c r="M142" i="10"/>
  <c r="K142" i="10"/>
  <c r="J142" i="10"/>
  <c r="D141" i="10"/>
  <c r="E141" i="10"/>
  <c r="F141" i="10"/>
  <c r="C141" i="10"/>
  <c r="A143" i="10"/>
  <c r="B142" i="10"/>
  <c r="A144" i="10" l="1"/>
  <c r="B143" i="10"/>
  <c r="F142" i="10"/>
  <c r="D142" i="10"/>
  <c r="E142" i="10"/>
  <c r="C142" i="10"/>
  <c r="I144" i="10"/>
  <c r="H145" i="10"/>
  <c r="L143" i="10"/>
  <c r="M143" i="10"/>
  <c r="K143" i="10"/>
  <c r="J143" i="10"/>
  <c r="K144" i="10" l="1"/>
  <c r="L144" i="10"/>
  <c r="M144" i="10"/>
  <c r="J144" i="10"/>
  <c r="I145" i="10"/>
  <c r="H146" i="10"/>
  <c r="D143" i="10"/>
  <c r="C143" i="10"/>
  <c r="F143" i="10"/>
  <c r="E143" i="10"/>
  <c r="B144" i="10"/>
  <c r="A145" i="10"/>
  <c r="B145" i="10" l="1"/>
  <c r="A146" i="10"/>
  <c r="H147" i="10"/>
  <c r="I146" i="10"/>
  <c r="M145" i="10"/>
  <c r="K145" i="10"/>
  <c r="J145" i="10"/>
  <c r="L145" i="10"/>
  <c r="D144" i="10"/>
  <c r="F144" i="10"/>
  <c r="E144" i="10"/>
  <c r="C144" i="10"/>
  <c r="M146" i="10" l="1"/>
  <c r="J146" i="10"/>
  <c r="L146" i="10"/>
  <c r="K146" i="10"/>
  <c r="I147" i="10"/>
  <c r="H148" i="10"/>
  <c r="A147" i="10"/>
  <c r="B146" i="10"/>
  <c r="F145" i="10"/>
  <c r="E145" i="10"/>
  <c r="C145" i="10"/>
  <c r="D145" i="10"/>
  <c r="E146" i="10" l="1"/>
  <c r="F146" i="10"/>
  <c r="C146" i="10"/>
  <c r="D146" i="10"/>
  <c r="B147" i="10"/>
  <c r="A148" i="10"/>
  <c r="H149" i="10"/>
  <c r="I148" i="10"/>
  <c r="M147" i="10"/>
  <c r="J147" i="10"/>
  <c r="K147" i="10"/>
  <c r="L147" i="10"/>
  <c r="I149" i="10" l="1"/>
  <c r="H150" i="10"/>
  <c r="A149" i="10"/>
  <c r="B148" i="10"/>
  <c r="D147" i="10"/>
  <c r="E147" i="10"/>
  <c r="F147" i="10"/>
  <c r="C147" i="10"/>
  <c r="L148" i="10"/>
  <c r="J148" i="10"/>
  <c r="M148" i="10"/>
  <c r="K148" i="10"/>
  <c r="D148" i="10" l="1"/>
  <c r="E148" i="10"/>
  <c r="F148" i="10"/>
  <c r="C148" i="10"/>
  <c r="B149" i="10"/>
  <c r="A150" i="10"/>
  <c r="I150" i="10"/>
  <c r="H151" i="10"/>
  <c r="M149" i="10"/>
  <c r="L149" i="10"/>
  <c r="K149" i="10"/>
  <c r="J149" i="10"/>
  <c r="I151" i="10" l="1"/>
  <c r="H152" i="10"/>
  <c r="B150" i="10"/>
  <c r="A151" i="10"/>
  <c r="F149" i="10"/>
  <c r="C149" i="10"/>
  <c r="D149" i="10"/>
  <c r="E149" i="10"/>
  <c r="L150" i="10"/>
  <c r="K150" i="10"/>
  <c r="J150" i="10"/>
  <c r="M150" i="10"/>
  <c r="B151" i="10" l="1"/>
  <c r="A152" i="10"/>
  <c r="C150" i="10"/>
  <c r="F150" i="10"/>
  <c r="D150" i="10"/>
  <c r="E150" i="10"/>
  <c r="I152" i="10"/>
  <c r="H153" i="10"/>
  <c r="K151" i="10"/>
  <c r="L151" i="10"/>
  <c r="M151" i="10"/>
  <c r="J151" i="10"/>
  <c r="H154" i="10" l="1"/>
  <c r="I153" i="10"/>
  <c r="B152" i="10"/>
  <c r="A153" i="10"/>
  <c r="M152" i="10"/>
  <c r="J152" i="10"/>
  <c r="L152" i="10"/>
  <c r="K152" i="10"/>
  <c r="E151" i="10"/>
  <c r="F151" i="10"/>
  <c r="D151" i="10"/>
  <c r="C151" i="10"/>
  <c r="B153" i="10" l="1"/>
  <c r="A154" i="10"/>
  <c r="L153" i="10"/>
  <c r="M153" i="10"/>
  <c r="K153" i="10"/>
  <c r="J153" i="10"/>
  <c r="E152" i="10"/>
  <c r="D152" i="10"/>
  <c r="F152" i="10"/>
  <c r="C152" i="10"/>
  <c r="I154" i="10"/>
  <c r="H155" i="10"/>
  <c r="H156" i="10" l="1"/>
  <c r="I155" i="10"/>
  <c r="B154" i="10"/>
  <c r="A155" i="10"/>
  <c r="M154" i="10"/>
  <c r="L154" i="10"/>
  <c r="K154" i="10"/>
  <c r="J154" i="10"/>
  <c r="E153" i="10"/>
  <c r="F153" i="10"/>
  <c r="D153" i="10"/>
  <c r="C153" i="10"/>
  <c r="B155" i="10" l="1"/>
  <c r="A156" i="10"/>
  <c r="D154" i="10"/>
  <c r="C154" i="10"/>
  <c r="F154" i="10"/>
  <c r="E154" i="10"/>
  <c r="L155" i="10"/>
  <c r="K155" i="10"/>
  <c r="M155" i="10"/>
  <c r="J155" i="10"/>
  <c r="I156" i="10"/>
  <c r="H157" i="10"/>
  <c r="I157" i="10" l="1"/>
  <c r="H158" i="10"/>
  <c r="A157" i="10"/>
  <c r="B156" i="10"/>
  <c r="M156" i="10"/>
  <c r="K156" i="10"/>
  <c r="L156" i="10"/>
  <c r="J156" i="10"/>
  <c r="D155" i="10"/>
  <c r="F155" i="10"/>
  <c r="C155" i="10"/>
  <c r="E155" i="10"/>
  <c r="F156" i="10" l="1"/>
  <c r="E156" i="10"/>
  <c r="D156" i="10"/>
  <c r="C156" i="10"/>
  <c r="B157" i="10"/>
  <c r="A158" i="10"/>
  <c r="I158" i="10"/>
  <c r="H159" i="10"/>
  <c r="J157" i="10"/>
  <c r="L157" i="10"/>
  <c r="M157" i="10"/>
  <c r="K157" i="10"/>
  <c r="K158" i="10" l="1"/>
  <c r="M158" i="10"/>
  <c r="L158" i="10"/>
  <c r="J158" i="10"/>
  <c r="A159" i="10"/>
  <c r="B158" i="10"/>
  <c r="I159" i="10"/>
  <c r="H160" i="10"/>
  <c r="F157" i="10"/>
  <c r="E157" i="10"/>
  <c r="C157" i="10"/>
  <c r="D157" i="10"/>
  <c r="I160" i="10" l="1"/>
  <c r="H161" i="10"/>
  <c r="E158" i="10"/>
  <c r="D158" i="10"/>
  <c r="C158" i="10"/>
  <c r="F158" i="10"/>
  <c r="M159" i="10"/>
  <c r="L159" i="10"/>
  <c r="J159" i="10"/>
  <c r="K159" i="10"/>
  <c r="B159" i="10"/>
  <c r="A160" i="10"/>
  <c r="C159" i="10" l="1"/>
  <c r="F159" i="10"/>
  <c r="E159" i="10"/>
  <c r="D159" i="10"/>
  <c r="B160" i="10"/>
  <c r="A161" i="10"/>
  <c r="I161" i="10"/>
  <c r="H162" i="10"/>
  <c r="L160" i="10"/>
  <c r="K160" i="10"/>
  <c r="J160" i="10"/>
  <c r="M160" i="10"/>
  <c r="H163" i="10" l="1"/>
  <c r="I162" i="10"/>
  <c r="B161" i="10"/>
  <c r="A162" i="10"/>
  <c r="C160" i="10"/>
  <c r="F160" i="10"/>
  <c r="D160" i="10"/>
  <c r="E160" i="10"/>
  <c r="L161" i="10"/>
  <c r="K161" i="10"/>
  <c r="J161" i="10"/>
  <c r="M161" i="10"/>
  <c r="B162" i="10" l="1"/>
  <c r="A163" i="10"/>
  <c r="F161" i="10"/>
  <c r="D161" i="10"/>
  <c r="E161" i="10"/>
  <c r="C161" i="10"/>
  <c r="J162" i="10"/>
  <c r="L162" i="10"/>
  <c r="M162" i="10"/>
  <c r="K162" i="10"/>
  <c r="H164" i="10"/>
  <c r="I163" i="10"/>
  <c r="M163" i="10" l="1"/>
  <c r="K163" i="10"/>
  <c r="L163" i="10"/>
  <c r="J163" i="10"/>
  <c r="I164" i="10"/>
  <c r="H165" i="10"/>
  <c r="A164" i="10"/>
  <c r="B163" i="10"/>
  <c r="D162" i="10"/>
  <c r="C162" i="10"/>
  <c r="F162" i="10"/>
  <c r="E162" i="10"/>
  <c r="H166" i="10" l="1"/>
  <c r="I165" i="10"/>
  <c r="A165" i="10"/>
  <c r="B164" i="10"/>
  <c r="J164" i="10"/>
  <c r="L164" i="10"/>
  <c r="M164" i="10"/>
  <c r="K164" i="10"/>
  <c r="F163" i="10"/>
  <c r="E163" i="10"/>
  <c r="D163" i="10"/>
  <c r="C163" i="10"/>
  <c r="K165" i="10" l="1"/>
  <c r="M165" i="10"/>
  <c r="J165" i="10"/>
  <c r="L165" i="10"/>
  <c r="E164" i="10"/>
  <c r="F164" i="10"/>
  <c r="D164" i="10"/>
  <c r="C164" i="10"/>
  <c r="A166" i="10"/>
  <c r="B165" i="10"/>
  <c r="I166" i="10"/>
  <c r="H167" i="10"/>
  <c r="C165" i="10" l="1"/>
  <c r="E165" i="10"/>
  <c r="D165" i="10"/>
  <c r="F165" i="10"/>
  <c r="H168" i="10"/>
  <c r="I167" i="10"/>
  <c r="M166" i="10"/>
  <c r="L166" i="10"/>
  <c r="K166" i="10"/>
  <c r="J166" i="10"/>
  <c r="B166" i="10"/>
  <c r="A167" i="10"/>
  <c r="A168" i="10" l="1"/>
  <c r="B167" i="10"/>
  <c r="J167" i="10"/>
  <c r="K167" i="10"/>
  <c r="L167" i="10"/>
  <c r="M167" i="10"/>
  <c r="H169" i="10"/>
  <c r="I168" i="10"/>
  <c r="F166" i="10"/>
  <c r="D166" i="10"/>
  <c r="C166" i="10"/>
  <c r="E166" i="10"/>
  <c r="M168" i="10" l="1"/>
  <c r="K168" i="10"/>
  <c r="J168" i="10"/>
  <c r="L168" i="10"/>
  <c r="I169" i="10"/>
  <c r="H170" i="10"/>
  <c r="C167" i="10"/>
  <c r="F167" i="10"/>
  <c r="D167" i="10"/>
  <c r="E167" i="10"/>
  <c r="B168" i="10"/>
  <c r="A169" i="10"/>
  <c r="H171" i="10" l="1"/>
  <c r="I170" i="10"/>
  <c r="A170" i="10"/>
  <c r="B169" i="10"/>
  <c r="J169" i="10"/>
  <c r="K169" i="10"/>
  <c r="L169" i="10"/>
  <c r="M169" i="10"/>
  <c r="F168" i="10"/>
  <c r="C168" i="10"/>
  <c r="D168" i="10"/>
  <c r="E168" i="10"/>
  <c r="D169" i="10" l="1"/>
  <c r="C169" i="10"/>
  <c r="F169" i="10"/>
  <c r="E169" i="10"/>
  <c r="A171" i="10"/>
  <c r="B170" i="10"/>
  <c r="M170" i="10"/>
  <c r="J170" i="10"/>
  <c r="K170" i="10"/>
  <c r="L170" i="10"/>
  <c r="I171" i="10"/>
  <c r="H172" i="10"/>
  <c r="F170" i="10" l="1"/>
  <c r="C170" i="10"/>
  <c r="E170" i="10"/>
  <c r="D170" i="10"/>
  <c r="H173" i="10"/>
  <c r="I172" i="10"/>
  <c r="J171" i="10"/>
  <c r="M171" i="10"/>
  <c r="L171" i="10"/>
  <c r="K171" i="10"/>
  <c r="B171" i="10"/>
  <c r="A172" i="10"/>
  <c r="F171" i="10" l="1"/>
  <c r="D171" i="10"/>
  <c r="C171" i="10"/>
  <c r="E171" i="10"/>
  <c r="I173" i="10"/>
  <c r="H174" i="10"/>
  <c r="B172" i="10"/>
  <c r="A173" i="10"/>
  <c r="K172" i="10"/>
  <c r="J172" i="10"/>
  <c r="M172" i="10"/>
  <c r="L172" i="10"/>
  <c r="C172" i="10" l="1"/>
  <c r="E172" i="10"/>
  <c r="F172" i="10"/>
  <c r="D172" i="10"/>
  <c r="H175" i="10"/>
  <c r="I174" i="10"/>
  <c r="M173" i="10"/>
  <c r="L173" i="10"/>
  <c r="J173" i="10"/>
  <c r="K173" i="10"/>
  <c r="A174" i="10"/>
  <c r="B173" i="10"/>
  <c r="F173" i="10" l="1"/>
  <c r="C173" i="10"/>
  <c r="E173" i="10"/>
  <c r="D173" i="10"/>
  <c r="A175" i="10"/>
  <c r="B174" i="10"/>
  <c r="J174" i="10"/>
  <c r="K174" i="10"/>
  <c r="M174" i="10"/>
  <c r="L174" i="10"/>
  <c r="H176" i="10"/>
  <c r="I175" i="10"/>
  <c r="I176" i="10" l="1"/>
  <c r="H177" i="10"/>
  <c r="M175" i="10"/>
  <c r="L175" i="10"/>
  <c r="J175" i="10"/>
  <c r="K175" i="10"/>
  <c r="F174" i="10"/>
  <c r="E174" i="10"/>
  <c r="C174" i="10"/>
  <c r="D174" i="10"/>
  <c r="B175" i="10"/>
  <c r="A176" i="10"/>
  <c r="A177" i="10" l="1"/>
  <c r="B176" i="10"/>
  <c r="I177" i="10"/>
  <c r="H178" i="10"/>
  <c r="D175" i="10"/>
  <c r="F175" i="10"/>
  <c r="E175" i="10"/>
  <c r="C175" i="10"/>
  <c r="M176" i="10"/>
  <c r="L176" i="10"/>
  <c r="K176" i="10"/>
  <c r="J176" i="10"/>
  <c r="I178" i="10" l="1"/>
  <c r="H179" i="10"/>
  <c r="K177" i="10"/>
  <c r="M177" i="10"/>
  <c r="L177" i="10"/>
  <c r="J177" i="10"/>
  <c r="D176" i="10"/>
  <c r="E176" i="10"/>
  <c r="C176" i="10"/>
  <c r="F176" i="10"/>
  <c r="A178" i="10"/>
  <c r="B177" i="10"/>
  <c r="F177" i="10" l="1"/>
  <c r="C177" i="10"/>
  <c r="D177" i="10"/>
  <c r="E177" i="10"/>
  <c r="A179" i="10"/>
  <c r="B178" i="10"/>
  <c r="I179" i="10"/>
  <c r="H180" i="10"/>
  <c r="L178" i="10"/>
  <c r="J178" i="10"/>
  <c r="K178" i="10"/>
  <c r="M178" i="10"/>
  <c r="K179" i="10" l="1"/>
  <c r="J179" i="10"/>
  <c r="M179" i="10"/>
  <c r="L179" i="10"/>
  <c r="F178" i="10"/>
  <c r="E178" i="10"/>
  <c r="D178" i="10"/>
  <c r="C178" i="10"/>
  <c r="B179" i="10"/>
  <c r="A180" i="10"/>
  <c r="H181" i="10"/>
  <c r="I180" i="10"/>
  <c r="M180" i="10" l="1"/>
  <c r="L180" i="10"/>
  <c r="J180" i="10"/>
  <c r="K180" i="10"/>
  <c r="H182" i="10"/>
  <c r="I181" i="10"/>
  <c r="A181" i="10"/>
  <c r="B180" i="10"/>
  <c r="F179" i="10"/>
  <c r="C179" i="10"/>
  <c r="E179" i="10"/>
  <c r="D179" i="10"/>
  <c r="D180" i="10" l="1"/>
  <c r="F180" i="10"/>
  <c r="C180" i="10"/>
  <c r="E180" i="10"/>
  <c r="B181" i="10"/>
  <c r="A182" i="10"/>
  <c r="M181" i="10"/>
  <c r="K181" i="10"/>
  <c r="L181" i="10"/>
  <c r="J181" i="10"/>
  <c r="H183" i="10"/>
  <c r="I182" i="10"/>
  <c r="K182" i="10" l="1"/>
  <c r="J182" i="10"/>
  <c r="M182" i="10"/>
  <c r="L182" i="10"/>
  <c r="I183" i="10"/>
  <c r="H184" i="10"/>
  <c r="B182" i="10"/>
  <c r="A183" i="10"/>
  <c r="C181" i="10"/>
  <c r="D181" i="10"/>
  <c r="F181" i="10"/>
  <c r="E181" i="10"/>
  <c r="H185" i="10" l="1"/>
  <c r="I184" i="10"/>
  <c r="D182" i="10"/>
  <c r="F182" i="10"/>
  <c r="E182" i="10"/>
  <c r="C182" i="10"/>
  <c r="L183" i="10"/>
  <c r="M183" i="10"/>
  <c r="K183" i="10"/>
  <c r="J183" i="10"/>
  <c r="A184" i="10"/>
  <c r="B183" i="10"/>
  <c r="D183" i="10" l="1"/>
  <c r="E183" i="10"/>
  <c r="F183" i="10"/>
  <c r="C183" i="10"/>
  <c r="A185" i="10"/>
  <c r="B184" i="10"/>
  <c r="K184" i="10"/>
  <c r="M184" i="10"/>
  <c r="J184" i="10"/>
  <c r="L184" i="10"/>
  <c r="I185" i="10"/>
  <c r="H186" i="10"/>
  <c r="L185" i="10" l="1"/>
  <c r="M185" i="10"/>
  <c r="K185" i="10"/>
  <c r="J185" i="10"/>
  <c r="I186" i="10"/>
  <c r="H187" i="10"/>
  <c r="A186" i="10"/>
  <c r="B185" i="10"/>
  <c r="F184" i="10"/>
  <c r="D184" i="10"/>
  <c r="E184" i="10"/>
  <c r="C184" i="10"/>
  <c r="A187" i="10" l="1"/>
  <c r="B186" i="10"/>
  <c r="H188" i="10"/>
  <c r="I187" i="10"/>
  <c r="K186" i="10"/>
  <c r="L186" i="10"/>
  <c r="J186" i="10"/>
  <c r="M186" i="10"/>
  <c r="D185" i="10"/>
  <c r="E185" i="10"/>
  <c r="F185" i="10"/>
  <c r="C185" i="10"/>
  <c r="M187" i="10" l="1"/>
  <c r="K187" i="10"/>
  <c r="J187" i="10"/>
  <c r="L187" i="10"/>
  <c r="I188" i="10"/>
  <c r="H189" i="10"/>
  <c r="F186" i="10"/>
  <c r="E186" i="10"/>
  <c r="D186" i="10"/>
  <c r="C186" i="10"/>
  <c r="B187" i="10"/>
  <c r="A188" i="10"/>
  <c r="I189" i="10" l="1"/>
  <c r="H190" i="10"/>
  <c r="A189" i="10"/>
  <c r="B188" i="10"/>
  <c r="M188" i="10"/>
  <c r="J188" i="10"/>
  <c r="L188" i="10"/>
  <c r="K188" i="10"/>
  <c r="D187" i="10"/>
  <c r="F187" i="10"/>
  <c r="E187" i="10"/>
  <c r="C187" i="10"/>
  <c r="D188" i="10" l="1"/>
  <c r="E188" i="10"/>
  <c r="F188" i="10"/>
  <c r="C188" i="10"/>
  <c r="B189" i="10"/>
  <c r="A190" i="10"/>
  <c r="I190" i="10"/>
  <c r="H191" i="10"/>
  <c r="K189" i="10"/>
  <c r="J189" i="10"/>
  <c r="M189" i="10"/>
  <c r="L189" i="10"/>
  <c r="I191" i="10" l="1"/>
  <c r="H192" i="10"/>
  <c r="L190" i="10"/>
  <c r="K190" i="10"/>
  <c r="M190" i="10"/>
  <c r="J190" i="10"/>
  <c r="A191" i="10"/>
  <c r="B190" i="10"/>
  <c r="E189" i="10"/>
  <c r="F189" i="10"/>
  <c r="D189" i="10"/>
  <c r="C189" i="10"/>
  <c r="D190" i="10" l="1"/>
  <c r="E190" i="10"/>
  <c r="C190" i="10"/>
  <c r="F190" i="10"/>
  <c r="B191" i="10"/>
  <c r="A192" i="10"/>
  <c r="I192" i="10"/>
  <c r="H193" i="10"/>
  <c r="L191" i="10"/>
  <c r="K191" i="10"/>
  <c r="M191" i="10"/>
  <c r="J191" i="10"/>
  <c r="H194" i="10" l="1"/>
  <c r="I193" i="10"/>
  <c r="B192" i="10"/>
  <c r="A193" i="10"/>
  <c r="F191" i="10"/>
  <c r="C191" i="10"/>
  <c r="D191" i="10"/>
  <c r="E191" i="10"/>
  <c r="L192" i="10"/>
  <c r="J192" i="10"/>
  <c r="M192" i="10"/>
  <c r="K192" i="10"/>
  <c r="B193" i="10" l="1"/>
  <c r="A194" i="10"/>
  <c r="D192" i="10"/>
  <c r="F192" i="10"/>
  <c r="C192" i="10"/>
  <c r="E192" i="10"/>
  <c r="K193" i="10"/>
  <c r="J193" i="10"/>
  <c r="M193" i="10"/>
  <c r="L193" i="10"/>
  <c r="I194" i="10"/>
  <c r="H195" i="10"/>
  <c r="I195" i="10" l="1"/>
  <c r="H196" i="10"/>
  <c r="M194" i="10"/>
  <c r="K194" i="10"/>
  <c r="L194" i="10"/>
  <c r="J194" i="10"/>
  <c r="B194" i="10"/>
  <c r="A195" i="10"/>
  <c r="E193" i="10"/>
  <c r="D193" i="10"/>
  <c r="F193" i="10"/>
  <c r="C193" i="10"/>
  <c r="C194" i="10" l="1"/>
  <c r="F194" i="10"/>
  <c r="D194" i="10"/>
  <c r="E194" i="10"/>
  <c r="A196" i="10"/>
  <c r="B195" i="10"/>
  <c r="I196" i="10"/>
  <c r="H197" i="10"/>
  <c r="M195" i="10"/>
  <c r="K195" i="10"/>
  <c r="J195" i="10"/>
  <c r="L195" i="10"/>
  <c r="H198" i="10" l="1"/>
  <c r="I197" i="10"/>
  <c r="L196" i="10"/>
  <c r="K196" i="10"/>
  <c r="M196" i="10"/>
  <c r="J196" i="10"/>
  <c r="E195" i="10"/>
  <c r="D195" i="10"/>
  <c r="C195" i="10"/>
  <c r="F195" i="10"/>
  <c r="B196" i="10"/>
  <c r="A197" i="10"/>
  <c r="F196" i="10" l="1"/>
  <c r="D196" i="10"/>
  <c r="E196" i="10"/>
  <c r="C196" i="10"/>
  <c r="A198" i="10"/>
  <c r="B197" i="10"/>
  <c r="L197" i="10"/>
  <c r="K197" i="10"/>
  <c r="M197" i="10"/>
  <c r="J197" i="10"/>
  <c r="I198" i="10"/>
  <c r="H199" i="10"/>
  <c r="M198" i="10" l="1"/>
  <c r="L198" i="10"/>
  <c r="K198" i="10"/>
  <c r="J198" i="10"/>
  <c r="I199" i="10"/>
  <c r="H200" i="10"/>
  <c r="D197" i="10"/>
  <c r="E197" i="10"/>
  <c r="F197" i="10"/>
  <c r="C197" i="10"/>
  <c r="B198" i="10"/>
  <c r="A199" i="10"/>
  <c r="B199" i="10" l="1"/>
  <c r="A200" i="10"/>
  <c r="F198" i="10"/>
  <c r="E198" i="10"/>
  <c r="D198" i="10"/>
  <c r="C198" i="10"/>
  <c r="I200" i="10"/>
  <c r="H201" i="10"/>
  <c r="L199" i="10"/>
  <c r="J199" i="10"/>
  <c r="M199" i="10"/>
  <c r="K199" i="10"/>
  <c r="I201" i="10" l="1"/>
  <c r="H202" i="10"/>
  <c r="K200" i="10"/>
  <c r="M200" i="10"/>
  <c r="J200" i="10"/>
  <c r="L200" i="10"/>
  <c r="B200" i="10"/>
  <c r="A201" i="10"/>
  <c r="E199" i="10"/>
  <c r="C199" i="10"/>
  <c r="F199" i="10"/>
  <c r="D199" i="10"/>
  <c r="E200" i="10" l="1"/>
  <c r="C200" i="10"/>
  <c r="D200" i="10"/>
  <c r="F200" i="10"/>
  <c r="B201" i="10"/>
  <c r="A202" i="10"/>
  <c r="I202" i="10"/>
  <c r="H203" i="10"/>
  <c r="M201" i="10"/>
  <c r="J201" i="10"/>
  <c r="K201" i="10"/>
  <c r="L201" i="10"/>
  <c r="I203" i="10" l="1"/>
  <c r="H204" i="10"/>
  <c r="A203" i="10"/>
  <c r="B202" i="10"/>
  <c r="M202" i="10"/>
  <c r="L202" i="10"/>
  <c r="K202" i="10"/>
  <c r="J202" i="10"/>
  <c r="F201" i="10"/>
  <c r="D201" i="10"/>
  <c r="C201" i="10"/>
  <c r="E201" i="10"/>
  <c r="B203" i="10" l="1"/>
  <c r="A204" i="10"/>
  <c r="E202" i="10"/>
  <c r="F202" i="10"/>
  <c r="D202" i="10"/>
  <c r="C202" i="10"/>
  <c r="H205" i="10"/>
  <c r="I204" i="10"/>
  <c r="M203" i="10"/>
  <c r="L203" i="10"/>
  <c r="K203" i="10"/>
  <c r="J203" i="10"/>
  <c r="L204" i="10" l="1"/>
  <c r="J204" i="10"/>
  <c r="K204" i="10"/>
  <c r="M204" i="10"/>
  <c r="H206" i="10"/>
  <c r="I205" i="10"/>
  <c r="B204" i="10"/>
  <c r="A205" i="10"/>
  <c r="C203" i="10"/>
  <c r="F203" i="10"/>
  <c r="E203" i="10"/>
  <c r="D203" i="10"/>
  <c r="D204" i="10" l="1"/>
  <c r="C204" i="10"/>
  <c r="F204" i="10"/>
  <c r="E204" i="10"/>
  <c r="B205" i="10"/>
  <c r="A206" i="10"/>
  <c r="L205" i="10"/>
  <c r="M205" i="10"/>
  <c r="K205" i="10"/>
  <c r="J205" i="10"/>
  <c r="I206" i="10"/>
  <c r="H207" i="10"/>
  <c r="K206" i="10" l="1"/>
  <c r="J206" i="10"/>
  <c r="M206" i="10"/>
  <c r="L206" i="10"/>
  <c r="B206" i="10"/>
  <c r="A207" i="10"/>
  <c r="F205" i="10"/>
  <c r="E205" i="10"/>
  <c r="D205" i="10"/>
  <c r="C205" i="10"/>
  <c r="H208" i="10"/>
  <c r="I207" i="10"/>
  <c r="I208" i="10" l="1"/>
  <c r="H209" i="10"/>
  <c r="K207" i="10"/>
  <c r="M207" i="10"/>
  <c r="L207" i="10"/>
  <c r="J207" i="10"/>
  <c r="A208" i="10"/>
  <c r="B207" i="10"/>
  <c r="D206" i="10"/>
  <c r="F206" i="10"/>
  <c r="E206" i="10"/>
  <c r="C206" i="10"/>
  <c r="B208" i="10" l="1"/>
  <c r="A209" i="10"/>
  <c r="E207" i="10"/>
  <c r="D207" i="10"/>
  <c r="F207" i="10"/>
  <c r="C207" i="10"/>
  <c r="H210" i="10"/>
  <c r="I209" i="10"/>
  <c r="M208" i="10"/>
  <c r="K208" i="10"/>
  <c r="J208" i="10"/>
  <c r="L208" i="10"/>
  <c r="L209" i="10" l="1"/>
  <c r="M209" i="10"/>
  <c r="K209" i="10"/>
  <c r="J209" i="10"/>
  <c r="H211" i="10"/>
  <c r="I210" i="10"/>
  <c r="B209" i="10"/>
  <c r="A210" i="10"/>
  <c r="D208" i="10"/>
  <c r="C208" i="10"/>
  <c r="F208" i="10"/>
  <c r="E208" i="10"/>
  <c r="D209" i="10" l="1"/>
  <c r="C209" i="10"/>
  <c r="E209" i="10"/>
  <c r="F209" i="10"/>
  <c r="I211" i="10"/>
  <c r="H212" i="10"/>
  <c r="M210" i="10"/>
  <c r="J210" i="10"/>
  <c r="L210" i="10"/>
  <c r="K210" i="10"/>
  <c r="B210" i="10"/>
  <c r="A211" i="10"/>
  <c r="B211" i="10" l="1"/>
  <c r="A212" i="10"/>
  <c r="F210" i="10"/>
  <c r="D210" i="10"/>
  <c r="C210" i="10"/>
  <c r="E210" i="10"/>
  <c r="I212" i="10"/>
  <c r="H213" i="10"/>
  <c r="K211" i="10"/>
  <c r="J211" i="10"/>
  <c r="M211" i="10"/>
  <c r="L211" i="10"/>
  <c r="M212" i="10" l="1"/>
  <c r="J212" i="10"/>
  <c r="K212" i="10"/>
  <c r="L212" i="10"/>
  <c r="A213" i="10"/>
  <c r="B212" i="10"/>
  <c r="I213" i="10"/>
  <c r="H214" i="10"/>
  <c r="D211" i="10"/>
  <c r="E211" i="10"/>
  <c r="F211" i="10"/>
  <c r="C211" i="10"/>
  <c r="F212" i="10" l="1"/>
  <c r="E212" i="10"/>
  <c r="D212" i="10"/>
  <c r="C212" i="10"/>
  <c r="B213" i="10"/>
  <c r="A214" i="10"/>
  <c r="H215" i="10"/>
  <c r="I214" i="10"/>
  <c r="J213" i="10"/>
  <c r="K213" i="10"/>
  <c r="M213" i="10"/>
  <c r="L213" i="10"/>
  <c r="E213" i="10" l="1"/>
  <c r="D213" i="10"/>
  <c r="F213" i="10"/>
  <c r="C213" i="10"/>
  <c r="K214" i="10"/>
  <c r="M214" i="10"/>
  <c r="J214" i="10"/>
  <c r="L214" i="10"/>
  <c r="H216" i="10"/>
  <c r="I215" i="10"/>
  <c r="A215" i="10"/>
  <c r="B214" i="10"/>
  <c r="D214" i="10" l="1"/>
  <c r="C214" i="10"/>
  <c r="E214" i="10"/>
  <c r="F214" i="10"/>
  <c r="H217" i="10"/>
  <c r="I216" i="10"/>
  <c r="M215" i="10"/>
  <c r="L215" i="10"/>
  <c r="K215" i="10"/>
  <c r="J215" i="10"/>
  <c r="B215" i="10"/>
  <c r="A216" i="10"/>
  <c r="F215" i="10" l="1"/>
  <c r="E215" i="10"/>
  <c r="C215" i="10"/>
  <c r="D215" i="10"/>
  <c r="A217" i="10"/>
  <c r="B216" i="10"/>
  <c r="K216" i="10"/>
  <c r="J216" i="10"/>
  <c r="L216" i="10"/>
  <c r="M216" i="10"/>
  <c r="H218" i="10"/>
  <c r="I217" i="10"/>
  <c r="M217" i="10" l="1"/>
  <c r="L217" i="10"/>
  <c r="J217" i="10"/>
  <c r="K217" i="10"/>
  <c r="H219" i="10"/>
  <c r="I218" i="10"/>
  <c r="B217" i="10"/>
  <c r="A218" i="10"/>
  <c r="C216" i="10"/>
  <c r="F216" i="10"/>
  <c r="D216" i="10"/>
  <c r="E216" i="10"/>
  <c r="A219" i="10" l="1"/>
  <c r="B218" i="10"/>
  <c r="F217" i="10"/>
  <c r="C217" i="10"/>
  <c r="E217" i="10"/>
  <c r="D217" i="10"/>
  <c r="J218" i="10"/>
  <c r="L218" i="10"/>
  <c r="K218" i="10"/>
  <c r="M218" i="10"/>
  <c r="H220" i="10"/>
  <c r="I219" i="10"/>
  <c r="M219" i="10" l="1"/>
  <c r="L219" i="10"/>
  <c r="J219" i="10"/>
  <c r="K219" i="10"/>
  <c r="I220" i="10"/>
  <c r="H221" i="10"/>
  <c r="D218" i="10"/>
  <c r="F218" i="10"/>
  <c r="C218" i="10"/>
  <c r="E218" i="10"/>
  <c r="A220" i="10"/>
  <c r="B219" i="10"/>
  <c r="H222" i="10" l="1"/>
  <c r="I221" i="10"/>
  <c r="F219" i="10"/>
  <c r="D219" i="10"/>
  <c r="C219" i="10"/>
  <c r="E219" i="10"/>
  <c r="B220" i="10"/>
  <c r="A221" i="10"/>
  <c r="K220" i="10"/>
  <c r="J220" i="10"/>
  <c r="M220" i="10"/>
  <c r="L220" i="10"/>
  <c r="F220" i="10" l="1"/>
  <c r="C220" i="10"/>
  <c r="E220" i="10"/>
  <c r="D220" i="10"/>
  <c r="A222" i="10"/>
  <c r="B221" i="10"/>
  <c r="K221" i="10"/>
  <c r="L221" i="10"/>
  <c r="J221" i="10"/>
  <c r="M221" i="10"/>
  <c r="H223" i="10"/>
  <c r="I222" i="10"/>
  <c r="M222" i="10" l="1"/>
  <c r="L222" i="10"/>
  <c r="K222" i="10"/>
  <c r="J222" i="10"/>
  <c r="I223" i="10"/>
  <c r="H224" i="10"/>
  <c r="C221" i="10"/>
  <c r="E221" i="10"/>
  <c r="D221" i="10"/>
  <c r="F221" i="10"/>
  <c r="A223" i="10"/>
  <c r="B222" i="10"/>
  <c r="F222" i="10" l="1"/>
  <c r="D222" i="10"/>
  <c r="E222" i="10"/>
  <c r="C222" i="10"/>
  <c r="J223" i="10"/>
  <c r="L223" i="10"/>
  <c r="M223" i="10"/>
  <c r="K223" i="10"/>
  <c r="H225" i="10"/>
  <c r="I224" i="10"/>
  <c r="B223" i="10"/>
  <c r="A224" i="10"/>
  <c r="E223" i="10" l="1"/>
  <c r="C223" i="10"/>
  <c r="F223" i="10"/>
  <c r="D223" i="10"/>
  <c r="I225" i="10"/>
  <c r="H226" i="10"/>
  <c r="M224" i="10"/>
  <c r="K224" i="10"/>
  <c r="J224" i="10"/>
  <c r="L224" i="10"/>
  <c r="B224" i="10"/>
  <c r="A225" i="10"/>
  <c r="A226" i="10" l="1"/>
  <c r="B225" i="10"/>
  <c r="H227" i="10"/>
  <c r="I226" i="10"/>
  <c r="L225" i="10"/>
  <c r="M225" i="10"/>
  <c r="K225" i="10"/>
  <c r="J225" i="10"/>
  <c r="E224" i="10"/>
  <c r="D224" i="10"/>
  <c r="C224" i="10"/>
  <c r="F224" i="10"/>
  <c r="L226" i="10" l="1"/>
  <c r="K226" i="10"/>
  <c r="J226" i="10"/>
  <c r="M226" i="10"/>
  <c r="I227" i="10"/>
  <c r="H228" i="10"/>
  <c r="D225" i="10"/>
  <c r="F225" i="10"/>
  <c r="E225" i="10"/>
  <c r="C225" i="10"/>
  <c r="A227" i="10"/>
  <c r="B226" i="10"/>
  <c r="F226" i="10" l="1"/>
  <c r="C226" i="10"/>
  <c r="E226" i="10"/>
  <c r="D226" i="10"/>
  <c r="A228" i="10"/>
  <c r="B227" i="10"/>
  <c r="I228" i="10"/>
  <c r="H229" i="10"/>
  <c r="J227" i="10"/>
  <c r="M227" i="10"/>
  <c r="L227" i="10"/>
  <c r="K227" i="10"/>
  <c r="H230" i="10" l="1"/>
  <c r="I229" i="10"/>
  <c r="K228" i="10"/>
  <c r="J228" i="10"/>
  <c r="M228" i="10"/>
  <c r="L228" i="10"/>
  <c r="F227" i="10"/>
  <c r="C227" i="10"/>
  <c r="E227" i="10"/>
  <c r="D227" i="10"/>
  <c r="B228" i="10"/>
  <c r="A229" i="10"/>
  <c r="A230" i="10" l="1"/>
  <c r="B229" i="10"/>
  <c r="F228" i="10"/>
  <c r="D228" i="10"/>
  <c r="E228" i="10"/>
  <c r="C228" i="10"/>
  <c r="M229" i="10"/>
  <c r="L229" i="10"/>
  <c r="K229" i="10"/>
  <c r="J229" i="10"/>
  <c r="I230" i="10"/>
  <c r="H231" i="10"/>
  <c r="H232" i="10" l="1"/>
  <c r="I231" i="10"/>
  <c r="M230" i="10"/>
  <c r="J230" i="10"/>
  <c r="L230" i="10"/>
  <c r="K230" i="10"/>
  <c r="E229" i="10"/>
  <c r="D229" i="10"/>
  <c r="C229" i="10"/>
  <c r="F229" i="10"/>
  <c r="B230" i="10"/>
  <c r="A231" i="10"/>
  <c r="B231" i="10" l="1"/>
  <c r="A232" i="10"/>
  <c r="D230" i="10"/>
  <c r="F230" i="10"/>
  <c r="C230" i="10"/>
  <c r="E230" i="10"/>
  <c r="L231" i="10"/>
  <c r="K231" i="10"/>
  <c r="M231" i="10"/>
  <c r="J231" i="10"/>
  <c r="H233" i="10"/>
  <c r="I232" i="10"/>
  <c r="H234" i="10" l="1"/>
  <c r="I233" i="10"/>
  <c r="J232" i="10"/>
  <c r="M232" i="10"/>
  <c r="L232" i="10"/>
  <c r="K232" i="10"/>
  <c r="A233" i="10"/>
  <c r="B232" i="10"/>
  <c r="D231" i="10"/>
  <c r="F231" i="10"/>
  <c r="C231" i="10"/>
  <c r="E231" i="10"/>
  <c r="D232" i="10" l="1"/>
  <c r="E232" i="10"/>
  <c r="C232" i="10"/>
  <c r="F232" i="10"/>
  <c r="B233" i="10"/>
  <c r="A234" i="10"/>
  <c r="K233" i="10"/>
  <c r="M233" i="10"/>
  <c r="J233" i="10"/>
  <c r="L233" i="10"/>
  <c r="I234" i="10"/>
  <c r="H235" i="10"/>
  <c r="I235" i="10" l="1"/>
  <c r="H236" i="10"/>
  <c r="M234" i="10"/>
  <c r="L234" i="10"/>
  <c r="J234" i="10"/>
  <c r="K234" i="10"/>
  <c r="A235" i="10"/>
  <c r="B234" i="10"/>
  <c r="F233" i="10"/>
  <c r="E233" i="10"/>
  <c r="C233" i="10"/>
  <c r="D233" i="10"/>
  <c r="E234" i="10" l="1"/>
  <c r="D234" i="10"/>
  <c r="F234" i="10"/>
  <c r="C234" i="10"/>
  <c r="B235" i="10"/>
  <c r="A236" i="10"/>
  <c r="H237" i="10"/>
  <c r="I236" i="10"/>
  <c r="K235" i="10"/>
  <c r="L235" i="10"/>
  <c r="J235" i="10"/>
  <c r="M235" i="10"/>
  <c r="M236" i="10" l="1"/>
  <c r="L236" i="10"/>
  <c r="K236" i="10"/>
  <c r="J236" i="10"/>
  <c r="I237" i="10"/>
  <c r="H238" i="10"/>
  <c r="B236" i="10"/>
  <c r="A237" i="10"/>
  <c r="E235" i="10"/>
  <c r="C235" i="10"/>
  <c r="F235" i="10"/>
  <c r="D235" i="10"/>
  <c r="D236" i="10" l="1"/>
  <c r="C236" i="10"/>
  <c r="F236" i="10"/>
  <c r="E236" i="10"/>
  <c r="A238" i="10"/>
  <c r="B237" i="10"/>
  <c r="H239" i="10"/>
  <c r="I238" i="10"/>
  <c r="K237" i="10"/>
  <c r="J237" i="10"/>
  <c r="M237" i="10"/>
  <c r="L237" i="10"/>
  <c r="K238" i="10" l="1"/>
  <c r="L238" i="10"/>
  <c r="M238" i="10"/>
  <c r="J238" i="10"/>
  <c r="I239" i="10"/>
  <c r="H240" i="10"/>
  <c r="F237" i="10"/>
  <c r="E237" i="10"/>
  <c r="C237" i="10"/>
  <c r="D237" i="10"/>
  <c r="B238" i="10"/>
  <c r="A239" i="10"/>
  <c r="L239" i="10" l="1"/>
  <c r="M239" i="10"/>
  <c r="K239" i="10"/>
  <c r="J239" i="10"/>
  <c r="A240" i="10"/>
  <c r="B239" i="10"/>
  <c r="C238" i="10"/>
  <c r="E238" i="10"/>
  <c r="D238" i="10"/>
  <c r="F238" i="10"/>
  <c r="I240" i="10"/>
  <c r="H241" i="10"/>
  <c r="I241" i="10" l="1"/>
  <c r="H242" i="10"/>
  <c r="J240" i="10"/>
  <c r="M240" i="10"/>
  <c r="L240" i="10"/>
  <c r="K240" i="10"/>
  <c r="D239" i="10"/>
  <c r="F239" i="10"/>
  <c r="E239" i="10"/>
  <c r="C239" i="10"/>
  <c r="A241" i="10"/>
  <c r="B240" i="10"/>
  <c r="F240" i="10" l="1"/>
  <c r="D240" i="10"/>
  <c r="E240" i="10"/>
  <c r="C240" i="10"/>
  <c r="B241" i="10"/>
  <c r="A242" i="10"/>
  <c r="I242" i="10"/>
  <c r="H243" i="10"/>
  <c r="M241" i="10"/>
  <c r="L241" i="10"/>
  <c r="K241" i="10"/>
  <c r="J241" i="10"/>
  <c r="K242" i="10" l="1"/>
  <c r="M242" i="10"/>
  <c r="L242" i="10"/>
  <c r="J242" i="10"/>
  <c r="D241" i="10"/>
  <c r="F241" i="10"/>
  <c r="C241" i="10"/>
  <c r="E241" i="10"/>
  <c r="H244" i="10"/>
  <c r="I243" i="10"/>
  <c r="A243" i="10"/>
  <c r="B242" i="10"/>
  <c r="M243" i="10" l="1"/>
  <c r="K243" i="10"/>
  <c r="J243" i="10"/>
  <c r="L243" i="10"/>
  <c r="F242" i="10"/>
  <c r="D242" i="10"/>
  <c r="E242" i="10"/>
  <c r="C242" i="10"/>
  <c r="B243" i="10"/>
  <c r="A244" i="10"/>
  <c r="I244" i="10"/>
  <c r="H245" i="10"/>
  <c r="J244" i="10" l="1"/>
  <c r="K244" i="10"/>
  <c r="M244" i="10"/>
  <c r="L244" i="10"/>
  <c r="A245" i="10"/>
  <c r="B244" i="10"/>
  <c r="I245" i="10"/>
  <c r="H246" i="10"/>
  <c r="C243" i="10"/>
  <c r="E243" i="10"/>
  <c r="F243" i="10"/>
  <c r="D243" i="10"/>
  <c r="H247" i="10" l="1"/>
  <c r="I246" i="10"/>
  <c r="F244" i="10"/>
  <c r="E244" i="10"/>
  <c r="D244" i="10"/>
  <c r="C244" i="10"/>
  <c r="J245" i="10"/>
  <c r="M245" i="10"/>
  <c r="K245" i="10"/>
  <c r="L245" i="10"/>
  <c r="B245" i="10"/>
  <c r="A246" i="10"/>
  <c r="A247" i="10" l="1"/>
  <c r="B246" i="10"/>
  <c r="F245" i="10"/>
  <c r="C245" i="10"/>
  <c r="E245" i="10"/>
  <c r="D245" i="10"/>
  <c r="M246" i="10"/>
  <c r="L246" i="10"/>
  <c r="J246" i="10"/>
  <c r="K246" i="10"/>
  <c r="I247" i="10"/>
  <c r="H248" i="10"/>
  <c r="L247" i="10" l="1"/>
  <c r="K247" i="10"/>
  <c r="J247" i="10"/>
  <c r="M247" i="10"/>
  <c r="I248" i="10"/>
  <c r="H249" i="10"/>
  <c r="D246" i="10"/>
  <c r="E246" i="10"/>
  <c r="C246" i="10"/>
  <c r="F246" i="10"/>
  <c r="A248" i="10"/>
  <c r="B247" i="10"/>
  <c r="B248" i="10" l="1"/>
  <c r="A249" i="10"/>
  <c r="F247" i="10"/>
  <c r="E247" i="10"/>
  <c r="C247" i="10"/>
  <c r="D247" i="10"/>
  <c r="I249" i="10"/>
  <c r="H250" i="10"/>
  <c r="L248" i="10"/>
  <c r="M248" i="10"/>
  <c r="J248" i="10"/>
  <c r="K248" i="10"/>
  <c r="I250" i="10" l="1"/>
  <c r="H251" i="10"/>
  <c r="B249" i="10"/>
  <c r="A250" i="10"/>
  <c r="K249" i="10"/>
  <c r="M249" i="10"/>
  <c r="L249" i="10"/>
  <c r="J249" i="10"/>
  <c r="C248" i="10"/>
  <c r="D248" i="10"/>
  <c r="E248" i="10"/>
  <c r="F248" i="10"/>
  <c r="B250" i="10" l="1"/>
  <c r="A251" i="10"/>
  <c r="F249" i="10"/>
  <c r="E249" i="10"/>
  <c r="D249" i="10"/>
  <c r="C249" i="10"/>
  <c r="I251" i="10"/>
  <c r="H252" i="10"/>
  <c r="M250" i="10"/>
  <c r="J250" i="10"/>
  <c r="L250" i="10"/>
  <c r="K250" i="10"/>
  <c r="M251" i="10" l="1"/>
  <c r="L251" i="10"/>
  <c r="K251" i="10"/>
  <c r="J251" i="10"/>
  <c r="B251" i="10"/>
  <c r="A252" i="10"/>
  <c r="I252" i="10"/>
  <c r="H253" i="10"/>
  <c r="D250" i="10"/>
  <c r="C250" i="10"/>
  <c r="F250" i="10"/>
  <c r="E250" i="10"/>
  <c r="E251" i="10" l="1"/>
  <c r="D251" i="10"/>
  <c r="C251" i="10"/>
  <c r="F251" i="10"/>
  <c r="H254" i="10"/>
  <c r="I253" i="10"/>
  <c r="J252" i="10"/>
  <c r="M252" i="10"/>
  <c r="L252" i="10"/>
  <c r="K252" i="10"/>
  <c r="B252" i="10"/>
  <c r="A253" i="10"/>
  <c r="E252" i="10" l="1"/>
  <c r="F252" i="10"/>
  <c r="C252" i="10"/>
  <c r="D252" i="10"/>
  <c r="L253" i="10"/>
  <c r="M253" i="10"/>
  <c r="K253" i="10"/>
  <c r="J253" i="10"/>
  <c r="I254" i="10"/>
  <c r="H255" i="10"/>
  <c r="B253" i="10"/>
  <c r="A254" i="10"/>
  <c r="M254" i="10" l="1"/>
  <c r="K254" i="10"/>
  <c r="J254" i="10"/>
  <c r="L254" i="10"/>
  <c r="A255" i="10"/>
  <c r="B254" i="10"/>
  <c r="D253" i="10"/>
  <c r="C253" i="10"/>
  <c r="F253" i="10"/>
  <c r="E253" i="10"/>
  <c r="I255" i="10"/>
  <c r="H256" i="10"/>
  <c r="K255" i="10" l="1"/>
  <c r="J255" i="10"/>
  <c r="M255" i="10"/>
  <c r="L255" i="10"/>
  <c r="I256" i="10"/>
  <c r="H257" i="10"/>
  <c r="F254" i="10"/>
  <c r="E254" i="10"/>
  <c r="C254" i="10"/>
  <c r="D254" i="10"/>
  <c r="B255" i="10"/>
  <c r="A256" i="10"/>
  <c r="F255" i="10" l="1"/>
  <c r="D255" i="10"/>
  <c r="E255" i="10"/>
  <c r="C255" i="10"/>
  <c r="I257" i="10"/>
  <c r="H258" i="10"/>
  <c r="A257" i="10"/>
  <c r="B256" i="10"/>
  <c r="K256" i="10"/>
  <c r="M256" i="10"/>
  <c r="J256" i="10"/>
  <c r="L256" i="10"/>
  <c r="E256" i="10" l="1"/>
  <c r="F256" i="10"/>
  <c r="D256" i="10"/>
  <c r="C256" i="10"/>
  <c r="A258" i="10"/>
  <c r="B257" i="10"/>
  <c r="H259" i="10"/>
  <c r="I258" i="10"/>
  <c r="M257" i="10"/>
  <c r="K257" i="10"/>
  <c r="L257" i="10"/>
  <c r="J257" i="10"/>
  <c r="L258" i="10" l="1"/>
  <c r="M258" i="10"/>
  <c r="J258" i="10"/>
  <c r="K258" i="10"/>
  <c r="F257" i="10"/>
  <c r="C257" i="10"/>
  <c r="D257" i="10"/>
  <c r="E257" i="10"/>
  <c r="A259" i="10"/>
  <c r="B258" i="10"/>
  <c r="I259" i="10"/>
  <c r="H260" i="10"/>
  <c r="L259" i="10" l="1"/>
  <c r="K259" i="10"/>
  <c r="M259" i="10"/>
  <c r="J259" i="10"/>
  <c r="I260" i="10"/>
  <c r="H261" i="10"/>
  <c r="B259" i="10"/>
  <c r="A260" i="10"/>
  <c r="D258" i="10"/>
  <c r="C258" i="10"/>
  <c r="F258" i="10"/>
  <c r="E258" i="10"/>
  <c r="B260" i="10" l="1"/>
  <c r="A261" i="10"/>
  <c r="I261" i="10"/>
  <c r="H262" i="10"/>
  <c r="K260" i="10"/>
  <c r="J260" i="10"/>
  <c r="L260" i="10"/>
  <c r="M260" i="10"/>
  <c r="F259" i="10"/>
  <c r="D259" i="10"/>
  <c r="C259" i="10"/>
  <c r="E259" i="10"/>
  <c r="I262" i="10" l="1"/>
  <c r="H263" i="10"/>
  <c r="M261" i="10"/>
  <c r="L261" i="10"/>
  <c r="K261" i="10"/>
  <c r="J261" i="10"/>
  <c r="A262" i="10"/>
  <c r="B261" i="10"/>
  <c r="D260" i="10"/>
  <c r="C260" i="10"/>
  <c r="E260" i="10"/>
  <c r="F260" i="10"/>
  <c r="A263" i="10" l="1"/>
  <c r="B262" i="10"/>
  <c r="F261" i="10"/>
  <c r="E261" i="10"/>
  <c r="C261" i="10"/>
  <c r="D261" i="10"/>
  <c r="H264" i="10"/>
  <c r="I263" i="10"/>
  <c r="J262" i="10"/>
  <c r="M262" i="10"/>
  <c r="K262" i="10"/>
  <c r="L262" i="10"/>
  <c r="K263" i="10" l="1"/>
  <c r="M263" i="10"/>
  <c r="L263" i="10"/>
  <c r="J263" i="10"/>
  <c r="H265" i="10"/>
  <c r="I264" i="10"/>
  <c r="D262" i="10"/>
  <c r="E262" i="10"/>
  <c r="C262" i="10"/>
  <c r="F262" i="10"/>
  <c r="B263" i="10"/>
  <c r="A264" i="10"/>
  <c r="A265" i="10" l="1"/>
  <c r="B264" i="10"/>
  <c r="D263" i="10"/>
  <c r="C263" i="10"/>
  <c r="E263" i="10"/>
  <c r="F263" i="10"/>
  <c r="H266" i="10"/>
  <c r="I265" i="10"/>
  <c r="M264" i="10"/>
  <c r="L264" i="10"/>
  <c r="J264" i="10"/>
  <c r="K264" i="10"/>
  <c r="K265" i="10" l="1"/>
  <c r="J265" i="10"/>
  <c r="M265" i="10"/>
  <c r="L265" i="10"/>
  <c r="I266" i="10"/>
  <c r="H267" i="10"/>
  <c r="F264" i="10"/>
  <c r="E264" i="10"/>
  <c r="C264" i="10"/>
  <c r="D264" i="10"/>
  <c r="A266" i="10"/>
  <c r="B265" i="10"/>
  <c r="C265" i="10" l="1"/>
  <c r="F265" i="10"/>
  <c r="E265" i="10"/>
  <c r="D265" i="10"/>
  <c r="H268" i="10"/>
  <c r="I267" i="10"/>
  <c r="B266" i="10"/>
  <c r="A267" i="10"/>
  <c r="M266" i="10"/>
  <c r="L266" i="10"/>
  <c r="J266" i="10"/>
  <c r="K266" i="10"/>
  <c r="F266" i="10" l="1"/>
  <c r="E266" i="10"/>
  <c r="C266" i="10"/>
  <c r="D266" i="10"/>
  <c r="B267" i="10"/>
  <c r="A268" i="10"/>
  <c r="H269" i="10"/>
  <c r="I268" i="10"/>
  <c r="J267" i="10"/>
  <c r="L267" i="10"/>
  <c r="M267" i="10"/>
  <c r="K267" i="10"/>
  <c r="B268" i="10" l="1"/>
  <c r="A269" i="10"/>
  <c r="I269" i="10"/>
  <c r="H270" i="10"/>
  <c r="D267" i="10"/>
  <c r="C267" i="10"/>
  <c r="F267" i="10"/>
  <c r="E267" i="10"/>
  <c r="M268" i="10"/>
  <c r="J268" i="10"/>
  <c r="L268" i="10"/>
  <c r="K268" i="10"/>
  <c r="H271" i="10" l="1"/>
  <c r="I270" i="10"/>
  <c r="L269" i="10"/>
  <c r="J269" i="10"/>
  <c r="M269" i="10"/>
  <c r="K269" i="10"/>
  <c r="A270" i="10"/>
  <c r="B269" i="10"/>
  <c r="F268" i="10"/>
  <c r="D268" i="10"/>
  <c r="C268" i="10"/>
  <c r="E268" i="10"/>
  <c r="B270" i="10" l="1"/>
  <c r="A271" i="10"/>
  <c r="F269" i="10"/>
  <c r="C269" i="10"/>
  <c r="D269" i="10"/>
  <c r="E269" i="10"/>
  <c r="K270" i="10"/>
  <c r="L270" i="10"/>
  <c r="J270" i="10"/>
  <c r="M270" i="10"/>
  <c r="H272" i="10"/>
  <c r="I271" i="10"/>
  <c r="A272" i="10" l="1"/>
  <c r="B271" i="10"/>
  <c r="M271" i="10"/>
  <c r="K271" i="10"/>
  <c r="L271" i="10"/>
  <c r="J271" i="10"/>
  <c r="H273" i="10"/>
  <c r="I272" i="10"/>
  <c r="C270" i="10"/>
  <c r="D270" i="10"/>
  <c r="F270" i="10"/>
  <c r="E270" i="10"/>
  <c r="J272" i="10" l="1"/>
  <c r="M272" i="10"/>
  <c r="K272" i="10"/>
  <c r="L272" i="10"/>
  <c r="H274" i="10"/>
  <c r="I273" i="10"/>
  <c r="F271" i="10"/>
  <c r="D271" i="10"/>
  <c r="C271" i="10"/>
  <c r="E271" i="10"/>
  <c r="B272" i="10"/>
  <c r="A273" i="10"/>
  <c r="E272" i="10" l="1"/>
  <c r="D272" i="10"/>
  <c r="F272" i="10"/>
  <c r="C272" i="10"/>
  <c r="B273" i="10"/>
  <c r="A274" i="10"/>
  <c r="M273" i="10"/>
  <c r="L273" i="10"/>
  <c r="J273" i="10"/>
  <c r="K273" i="10"/>
  <c r="I274" i="10"/>
  <c r="H275" i="10"/>
  <c r="A275" i="10" l="1"/>
  <c r="B274" i="10"/>
  <c r="I275" i="10"/>
  <c r="H276" i="10"/>
  <c r="E273" i="10"/>
  <c r="D273" i="10"/>
  <c r="C273" i="10"/>
  <c r="F273" i="10"/>
  <c r="M274" i="10"/>
  <c r="K274" i="10"/>
  <c r="L274" i="10"/>
  <c r="J274" i="10"/>
  <c r="I276" i="10" l="1"/>
  <c r="H277" i="10"/>
  <c r="L275" i="10"/>
  <c r="K275" i="10"/>
  <c r="J275" i="10"/>
  <c r="M275" i="10"/>
  <c r="D274" i="10"/>
  <c r="E274" i="10"/>
  <c r="C274" i="10"/>
  <c r="F274" i="10"/>
  <c r="B275" i="10"/>
  <c r="A276" i="10"/>
  <c r="F275" i="10" l="1"/>
  <c r="C275" i="10"/>
  <c r="E275" i="10"/>
  <c r="D275" i="10"/>
  <c r="A277" i="10"/>
  <c r="B276" i="10"/>
  <c r="H278" i="10"/>
  <c r="I277" i="10"/>
  <c r="J276" i="10"/>
  <c r="M276" i="10"/>
  <c r="K276" i="10"/>
  <c r="L276" i="10"/>
  <c r="H279" i="10" l="1"/>
  <c r="I278" i="10"/>
  <c r="K277" i="10"/>
  <c r="J277" i="10"/>
  <c r="M277" i="10"/>
  <c r="L277" i="10"/>
  <c r="F276" i="10"/>
  <c r="E276" i="10"/>
  <c r="C276" i="10"/>
  <c r="D276" i="10"/>
  <c r="B277" i="10"/>
  <c r="A278" i="10"/>
  <c r="A279" i="10" l="1"/>
  <c r="B278" i="10"/>
  <c r="M278" i="10"/>
  <c r="K278" i="10"/>
  <c r="J278" i="10"/>
  <c r="L278" i="10"/>
  <c r="F277" i="10"/>
  <c r="E277" i="10"/>
  <c r="C277" i="10"/>
  <c r="D277" i="10"/>
  <c r="I279" i="10"/>
  <c r="H280" i="10"/>
  <c r="H281" i="10" l="1"/>
  <c r="I280" i="10"/>
  <c r="L279" i="10"/>
  <c r="M279" i="10"/>
  <c r="J279" i="10"/>
  <c r="K279" i="10"/>
  <c r="E278" i="10"/>
  <c r="D278" i="10"/>
  <c r="C278" i="10"/>
  <c r="F278" i="10"/>
  <c r="B279" i="10"/>
  <c r="A280" i="10"/>
  <c r="C279" i="10" l="1"/>
  <c r="E279" i="10"/>
  <c r="F279" i="10"/>
  <c r="D279" i="10"/>
  <c r="B280" i="10"/>
  <c r="A281" i="10"/>
  <c r="L280" i="10"/>
  <c r="K280" i="10"/>
  <c r="M280" i="10"/>
  <c r="J280" i="10"/>
  <c r="H282" i="10"/>
  <c r="I281" i="10"/>
  <c r="L281" i="10" l="1"/>
  <c r="J281" i="10"/>
  <c r="M281" i="10"/>
  <c r="K281" i="10"/>
  <c r="I282" i="10"/>
  <c r="H283" i="10"/>
  <c r="A282" i="10"/>
  <c r="B281" i="10"/>
  <c r="D280" i="10"/>
  <c r="F280" i="10"/>
  <c r="C280" i="10"/>
  <c r="E280" i="10"/>
  <c r="B282" i="10" l="1"/>
  <c r="A283" i="10"/>
  <c r="I283" i="10"/>
  <c r="H284" i="10"/>
  <c r="K282" i="10"/>
  <c r="L282" i="10"/>
  <c r="M282" i="10"/>
  <c r="J282" i="10"/>
  <c r="D281" i="10"/>
  <c r="F281" i="10"/>
  <c r="C281" i="10"/>
  <c r="E281" i="10"/>
  <c r="I284" i="10" l="1"/>
  <c r="H285" i="10"/>
  <c r="M283" i="10"/>
  <c r="L283" i="10"/>
  <c r="J283" i="10"/>
  <c r="K283" i="10"/>
  <c r="A284" i="10"/>
  <c r="B283" i="10"/>
  <c r="F282" i="10"/>
  <c r="D282" i="10"/>
  <c r="C282" i="10"/>
  <c r="E282" i="10"/>
  <c r="B284" i="10" l="1"/>
  <c r="A285" i="10"/>
  <c r="H286" i="10"/>
  <c r="I285" i="10"/>
  <c r="E283" i="10"/>
  <c r="D283" i="10"/>
  <c r="F283" i="10"/>
  <c r="C283" i="10"/>
  <c r="K284" i="10"/>
  <c r="J284" i="10"/>
  <c r="M284" i="10"/>
  <c r="L284" i="10"/>
  <c r="M285" i="10" l="1"/>
  <c r="L285" i="10"/>
  <c r="K285" i="10"/>
  <c r="J285" i="10"/>
  <c r="H287" i="10"/>
  <c r="I286" i="10"/>
  <c r="A286" i="10"/>
  <c r="B285" i="10"/>
  <c r="D284" i="10"/>
  <c r="C284" i="10"/>
  <c r="E284" i="10"/>
  <c r="F284" i="10"/>
  <c r="D285" i="10" l="1"/>
  <c r="E285" i="10"/>
  <c r="C285" i="10"/>
  <c r="F285" i="10"/>
  <c r="A287" i="10"/>
  <c r="B286" i="10"/>
  <c r="I287" i="10"/>
  <c r="H288" i="10"/>
  <c r="M286" i="10"/>
  <c r="K286" i="10"/>
  <c r="L286" i="10"/>
  <c r="J286" i="10"/>
  <c r="H289" i="10" l="1"/>
  <c r="I288" i="10"/>
  <c r="K287" i="10"/>
  <c r="L287" i="10"/>
  <c r="J287" i="10"/>
  <c r="M287" i="10"/>
  <c r="D286" i="10"/>
  <c r="F286" i="10"/>
  <c r="E286" i="10"/>
  <c r="C286" i="10"/>
  <c r="B287" i="10"/>
  <c r="A288" i="10"/>
  <c r="A289" i="10" l="1"/>
  <c r="B288" i="10"/>
  <c r="C287" i="10"/>
  <c r="F287" i="10"/>
  <c r="E287" i="10"/>
  <c r="D287" i="10"/>
  <c r="M288" i="10"/>
  <c r="K288" i="10"/>
  <c r="J288" i="10"/>
  <c r="L288" i="10"/>
  <c r="I289" i="10"/>
  <c r="H290" i="10"/>
  <c r="I290" i="10" l="1"/>
  <c r="H291" i="10"/>
  <c r="J289" i="10"/>
  <c r="K289" i="10"/>
  <c r="M289" i="10"/>
  <c r="L289" i="10"/>
  <c r="D288" i="10"/>
  <c r="F288" i="10"/>
  <c r="E288" i="10"/>
  <c r="C288" i="10"/>
  <c r="B289" i="10"/>
  <c r="A290" i="10"/>
  <c r="B290" i="10" l="1"/>
  <c r="A291" i="10"/>
  <c r="F289" i="10"/>
  <c r="E289" i="10"/>
  <c r="D289" i="10"/>
  <c r="C289" i="10"/>
  <c r="H292" i="10"/>
  <c r="I291" i="10"/>
  <c r="M290" i="10"/>
  <c r="L290" i="10"/>
  <c r="K290" i="10"/>
  <c r="J290" i="10"/>
  <c r="K291" i="10" l="1"/>
  <c r="M291" i="10"/>
  <c r="J291" i="10"/>
  <c r="L291" i="10"/>
  <c r="B291" i="10"/>
  <c r="A292" i="10"/>
  <c r="I292" i="10"/>
  <c r="H293" i="10"/>
  <c r="D290" i="10"/>
  <c r="F290" i="10"/>
  <c r="C290" i="10"/>
  <c r="E290" i="10"/>
  <c r="H294" i="10" l="1"/>
  <c r="I293" i="10"/>
  <c r="B292" i="10"/>
  <c r="A293" i="10"/>
  <c r="M292" i="10"/>
  <c r="K292" i="10"/>
  <c r="L292" i="10"/>
  <c r="J292" i="10"/>
  <c r="D291" i="10"/>
  <c r="C291" i="10"/>
  <c r="F291" i="10"/>
  <c r="E291" i="10"/>
  <c r="A294" i="10" l="1"/>
  <c r="B293" i="10"/>
  <c r="C292" i="10"/>
  <c r="F292" i="10"/>
  <c r="D292" i="10"/>
  <c r="E292" i="10"/>
  <c r="L293" i="10"/>
  <c r="J293" i="10"/>
  <c r="M293" i="10"/>
  <c r="K293" i="10"/>
  <c r="I294" i="10"/>
  <c r="H295" i="10"/>
  <c r="J294" i="10" l="1"/>
  <c r="K294" i="10"/>
  <c r="M294" i="10"/>
  <c r="L294" i="10"/>
  <c r="F293" i="10"/>
  <c r="E293" i="10"/>
  <c r="D293" i="10"/>
  <c r="C293" i="10"/>
  <c r="I295" i="10"/>
  <c r="H296" i="10"/>
  <c r="B294" i="10"/>
  <c r="A295" i="10"/>
  <c r="M295" i="10" l="1"/>
  <c r="L295" i="10"/>
  <c r="K295" i="10"/>
  <c r="J295" i="10"/>
  <c r="D294" i="10"/>
  <c r="E294" i="10"/>
  <c r="C294" i="10"/>
  <c r="F294" i="10"/>
  <c r="A296" i="10"/>
  <c r="B295" i="10"/>
  <c r="I296" i="10"/>
  <c r="H297" i="10"/>
  <c r="D295" i="10" l="1"/>
  <c r="E295" i="10"/>
  <c r="F295" i="10"/>
  <c r="C295" i="10"/>
  <c r="J296" i="10"/>
  <c r="L296" i="10"/>
  <c r="K296" i="10"/>
  <c r="M296" i="10"/>
  <c r="B296" i="10"/>
  <c r="A297" i="10"/>
  <c r="I297" i="10"/>
  <c r="H298" i="10"/>
  <c r="L297" i="10" l="1"/>
  <c r="K297" i="10"/>
  <c r="J297" i="10"/>
  <c r="M297" i="10"/>
  <c r="B297" i="10"/>
  <c r="A298" i="10"/>
  <c r="H299" i="10"/>
  <c r="I298" i="10"/>
  <c r="F296" i="10"/>
  <c r="E296" i="10"/>
  <c r="D296" i="10"/>
  <c r="C296" i="10"/>
  <c r="K298" i="10" l="1"/>
  <c r="L298" i="10"/>
  <c r="M298" i="10"/>
  <c r="J298" i="10"/>
  <c r="I299" i="10"/>
  <c r="H300" i="10"/>
  <c r="A299" i="10"/>
  <c r="B298" i="10"/>
  <c r="C297" i="10"/>
  <c r="F297" i="10"/>
  <c r="E297" i="10"/>
  <c r="D297" i="10"/>
  <c r="B299" i="10" l="1"/>
  <c r="A300" i="10"/>
  <c r="I300" i="10"/>
  <c r="H301" i="10"/>
  <c r="M299" i="10"/>
  <c r="J299" i="10"/>
  <c r="L299" i="10"/>
  <c r="K299" i="10"/>
  <c r="F298" i="10"/>
  <c r="E298" i="10"/>
  <c r="D298" i="10"/>
  <c r="C298" i="10"/>
  <c r="I301" i="10" l="1"/>
  <c r="H302" i="10"/>
  <c r="M300" i="10"/>
  <c r="L300" i="10"/>
  <c r="K300" i="10"/>
  <c r="J300" i="10"/>
  <c r="A301" i="10"/>
  <c r="B300" i="10"/>
  <c r="F299" i="10"/>
  <c r="E299" i="10"/>
  <c r="C299" i="10"/>
  <c r="D299" i="10"/>
  <c r="E300" i="10" l="1"/>
  <c r="D300" i="10"/>
  <c r="F300" i="10"/>
  <c r="C300" i="10"/>
  <c r="B301" i="10"/>
  <c r="A302" i="10"/>
  <c r="H303" i="10"/>
  <c r="I302" i="10"/>
  <c r="M301" i="10"/>
  <c r="J301" i="10"/>
  <c r="L301" i="10"/>
  <c r="K301" i="10"/>
  <c r="H304" i="10" l="1"/>
  <c r="I303" i="10"/>
  <c r="L302" i="10"/>
  <c r="M302" i="10"/>
  <c r="K302" i="10"/>
  <c r="J302" i="10"/>
  <c r="B302" i="10"/>
  <c r="A303" i="10"/>
  <c r="F301" i="10"/>
  <c r="D301" i="10"/>
  <c r="C301" i="10"/>
  <c r="E301" i="10"/>
  <c r="D302" i="10" l="1"/>
  <c r="C302" i="10"/>
  <c r="E302" i="10"/>
  <c r="F302" i="10"/>
  <c r="B303" i="10"/>
  <c r="A304" i="10"/>
  <c r="L303" i="10"/>
  <c r="K303" i="10"/>
  <c r="M303" i="10"/>
  <c r="J303" i="10"/>
  <c r="I304" i="10"/>
  <c r="H305" i="10"/>
  <c r="H306" i="10" l="1"/>
  <c r="I305" i="10"/>
  <c r="K304" i="10"/>
  <c r="J304" i="10"/>
  <c r="M304" i="10"/>
  <c r="L304" i="10"/>
  <c r="B304" i="10"/>
  <c r="A305" i="10"/>
  <c r="F303" i="10"/>
  <c r="E303" i="10"/>
  <c r="C303" i="10"/>
  <c r="D303" i="10"/>
  <c r="F304" i="10" l="1"/>
  <c r="D304" i="10"/>
  <c r="E304" i="10"/>
  <c r="C304" i="10"/>
  <c r="A306" i="10"/>
  <c r="B305" i="10"/>
  <c r="K305" i="10"/>
  <c r="M305" i="10"/>
  <c r="J305" i="10"/>
  <c r="L305" i="10"/>
  <c r="I306" i="10"/>
  <c r="H307" i="10"/>
  <c r="H308" i="10" l="1"/>
  <c r="I307" i="10"/>
  <c r="M306" i="10"/>
  <c r="J306" i="10"/>
  <c r="L306" i="10"/>
  <c r="K306" i="10"/>
  <c r="E305" i="10"/>
  <c r="F305" i="10"/>
  <c r="D305" i="10"/>
  <c r="C305" i="10"/>
  <c r="A307" i="10"/>
  <c r="B306" i="10"/>
  <c r="E306" i="10" l="1"/>
  <c r="D306" i="10"/>
  <c r="F306" i="10"/>
  <c r="C306" i="10"/>
  <c r="A308" i="10"/>
  <c r="B307" i="10"/>
  <c r="L307" i="10"/>
  <c r="M307" i="10"/>
  <c r="J307" i="10"/>
  <c r="K307" i="10"/>
  <c r="I308" i="10"/>
  <c r="H309" i="10"/>
  <c r="J308" i="10" l="1"/>
  <c r="K308" i="10"/>
  <c r="M308" i="10"/>
  <c r="L308" i="10"/>
  <c r="I309" i="10"/>
  <c r="H310" i="10"/>
  <c r="D307" i="10"/>
  <c r="C307" i="10"/>
  <c r="F307" i="10"/>
  <c r="E307" i="10"/>
  <c r="B308" i="10"/>
  <c r="A309" i="10"/>
  <c r="F308" i="10" l="1"/>
  <c r="E308" i="10"/>
  <c r="D308" i="10"/>
  <c r="C308" i="10"/>
  <c r="B309" i="10"/>
  <c r="A310" i="10"/>
  <c r="I310" i="10"/>
  <c r="H311" i="10"/>
  <c r="K309" i="10"/>
  <c r="J309" i="10"/>
  <c r="L309" i="10"/>
  <c r="M309" i="10"/>
  <c r="I311" i="10" l="1"/>
  <c r="H312" i="10"/>
  <c r="M310" i="10"/>
  <c r="L310" i="10"/>
  <c r="K310" i="10"/>
  <c r="J310" i="10"/>
  <c r="A311" i="10"/>
  <c r="B310" i="10"/>
  <c r="D309" i="10"/>
  <c r="F309" i="10"/>
  <c r="C309" i="10"/>
  <c r="E309" i="10"/>
  <c r="B311" i="10" l="1"/>
  <c r="A312" i="10"/>
  <c r="F310" i="10"/>
  <c r="E310" i="10"/>
  <c r="C310" i="10"/>
  <c r="D310" i="10"/>
  <c r="H313" i="10"/>
  <c r="I312" i="10"/>
  <c r="J311" i="10"/>
  <c r="L311" i="10"/>
  <c r="M311" i="10"/>
  <c r="K311" i="10"/>
  <c r="K312" i="10" l="1"/>
  <c r="M312" i="10"/>
  <c r="L312" i="10"/>
  <c r="J312" i="10"/>
  <c r="I313" i="10"/>
  <c r="H314" i="10"/>
  <c r="A313" i="10"/>
  <c r="B312" i="10"/>
  <c r="F311" i="10"/>
  <c r="E311" i="10"/>
  <c r="C311" i="10"/>
  <c r="D311" i="10"/>
  <c r="B313" i="10" l="1"/>
  <c r="A314" i="10"/>
  <c r="D312" i="10"/>
  <c r="C312" i="10"/>
  <c r="F312" i="10"/>
  <c r="E312" i="10"/>
  <c r="I314" i="10"/>
  <c r="H315" i="10"/>
  <c r="M313" i="10"/>
  <c r="J313" i="10"/>
  <c r="K313" i="10"/>
  <c r="L313" i="10"/>
  <c r="H316" i="10" l="1"/>
  <c r="I315" i="10"/>
  <c r="A315" i="10"/>
  <c r="B314" i="10"/>
  <c r="K314" i="10"/>
  <c r="J314" i="10"/>
  <c r="M314" i="10"/>
  <c r="L314" i="10"/>
  <c r="F313" i="10"/>
  <c r="E313" i="10"/>
  <c r="C313" i="10"/>
  <c r="D313" i="10"/>
  <c r="C314" i="10" l="1"/>
  <c r="E314" i="10"/>
  <c r="D314" i="10"/>
  <c r="F314" i="10"/>
  <c r="B315" i="10"/>
  <c r="A316" i="10"/>
  <c r="M315" i="10"/>
  <c r="K315" i="10"/>
  <c r="L315" i="10"/>
  <c r="J315" i="10"/>
  <c r="I316" i="10"/>
  <c r="H317" i="10"/>
  <c r="H318" i="10" l="1"/>
  <c r="I317" i="10"/>
  <c r="J316" i="10"/>
  <c r="M316" i="10"/>
  <c r="K316" i="10"/>
  <c r="L316" i="10"/>
  <c r="A317" i="10"/>
  <c r="B316" i="10"/>
  <c r="F315" i="10"/>
  <c r="E315" i="10"/>
  <c r="D315" i="10"/>
  <c r="C315" i="10"/>
  <c r="A318" i="10" l="1"/>
  <c r="B317" i="10"/>
  <c r="D316" i="10"/>
  <c r="E316" i="10"/>
  <c r="F316" i="10"/>
  <c r="C316" i="10"/>
  <c r="M317" i="10"/>
  <c r="K317" i="10"/>
  <c r="J317" i="10"/>
  <c r="L317" i="10"/>
  <c r="I318" i="10"/>
  <c r="H319" i="10"/>
  <c r="H320" i="10" l="1"/>
  <c r="I319" i="10"/>
  <c r="L318" i="10"/>
  <c r="K318" i="10"/>
  <c r="J318" i="10"/>
  <c r="M318" i="10"/>
  <c r="F317" i="10"/>
  <c r="D317" i="10"/>
  <c r="C317" i="10"/>
  <c r="E317" i="10"/>
  <c r="A319" i="10"/>
  <c r="B318" i="10"/>
  <c r="F318" i="10" l="1"/>
  <c r="C318" i="10"/>
  <c r="E318" i="10"/>
  <c r="D318" i="10"/>
  <c r="A320" i="10"/>
  <c r="B319" i="10"/>
  <c r="K319" i="10"/>
  <c r="L319" i="10"/>
  <c r="J319" i="10"/>
  <c r="M319" i="10"/>
  <c r="H321" i="10"/>
  <c r="I320" i="10"/>
  <c r="M320" i="10" l="1"/>
  <c r="K320" i="10"/>
  <c r="J320" i="10"/>
  <c r="L320" i="10"/>
  <c r="H322" i="10"/>
  <c r="I321" i="10"/>
  <c r="C319" i="10"/>
  <c r="F319" i="10"/>
  <c r="E319" i="10"/>
  <c r="D319" i="10"/>
  <c r="A321" i="10"/>
  <c r="B320" i="10"/>
  <c r="F320" i="10" l="1"/>
  <c r="E320" i="10"/>
  <c r="C320" i="10"/>
  <c r="D320" i="10"/>
  <c r="B321" i="10"/>
  <c r="A322" i="10"/>
  <c r="J321" i="10"/>
  <c r="L321" i="10"/>
  <c r="K321" i="10"/>
  <c r="M321" i="10"/>
  <c r="H323" i="10"/>
  <c r="I322" i="10"/>
  <c r="B322" i="10" l="1"/>
  <c r="A323" i="10"/>
  <c r="I323" i="10"/>
  <c r="H324" i="10"/>
  <c r="M322" i="10"/>
  <c r="L322" i="10"/>
  <c r="J322" i="10"/>
  <c r="K322" i="10"/>
  <c r="F321" i="10"/>
  <c r="D321" i="10"/>
  <c r="E321" i="10"/>
  <c r="C321" i="10"/>
  <c r="I324" i="10" l="1"/>
  <c r="H325" i="10"/>
  <c r="M323" i="10"/>
  <c r="L323" i="10"/>
  <c r="J323" i="10"/>
  <c r="K323" i="10"/>
  <c r="B323" i="10"/>
  <c r="A324" i="10"/>
  <c r="E322" i="10"/>
  <c r="D322" i="10"/>
  <c r="C322" i="10"/>
  <c r="F322" i="10"/>
  <c r="D323" i="10" l="1"/>
  <c r="F323" i="10"/>
  <c r="C323" i="10"/>
  <c r="E323" i="10"/>
  <c r="I325" i="10"/>
  <c r="H326" i="10"/>
  <c r="A325" i="10"/>
  <c r="B324" i="10"/>
  <c r="L324" i="10"/>
  <c r="K324" i="10"/>
  <c r="J324" i="10"/>
  <c r="M324" i="10"/>
  <c r="F324" i="10" l="1"/>
  <c r="C324" i="10"/>
  <c r="E324" i="10"/>
  <c r="D324" i="10"/>
  <c r="A326" i="10"/>
  <c r="B325" i="10"/>
  <c r="I326" i="10"/>
  <c r="H327" i="10"/>
  <c r="J325" i="10"/>
  <c r="K325" i="10"/>
  <c r="M325" i="10"/>
  <c r="L325" i="10"/>
  <c r="K326" i="10" l="1"/>
  <c r="J326" i="10"/>
  <c r="M326" i="10"/>
  <c r="L326" i="10"/>
  <c r="H328" i="10"/>
  <c r="I327" i="10"/>
  <c r="F325" i="10"/>
  <c r="D325" i="10"/>
  <c r="C325" i="10"/>
  <c r="E325" i="10"/>
  <c r="B326" i="10"/>
  <c r="A327" i="10"/>
  <c r="A328" i="10" l="1"/>
  <c r="B327" i="10"/>
  <c r="I328" i="10"/>
  <c r="H329" i="10"/>
  <c r="D326" i="10"/>
  <c r="F326" i="10"/>
  <c r="E326" i="10"/>
  <c r="C326" i="10"/>
  <c r="M327" i="10"/>
  <c r="K327" i="10"/>
  <c r="L327" i="10"/>
  <c r="J327" i="10"/>
  <c r="H330" i="10" l="1"/>
  <c r="I329" i="10"/>
  <c r="M328" i="10"/>
  <c r="K328" i="10"/>
  <c r="J328" i="10"/>
  <c r="L328" i="10"/>
  <c r="E327" i="10"/>
  <c r="D327" i="10"/>
  <c r="F327" i="10"/>
  <c r="C327" i="10"/>
  <c r="A329" i="10"/>
  <c r="B328" i="10"/>
  <c r="E328" i="10" l="1"/>
  <c r="C328" i="10"/>
  <c r="F328" i="10"/>
  <c r="D328" i="10"/>
  <c r="B329" i="10"/>
  <c r="A330" i="10"/>
  <c r="L329" i="10"/>
  <c r="K329" i="10"/>
  <c r="M329" i="10"/>
  <c r="J329" i="10"/>
  <c r="H331" i="10"/>
  <c r="I330" i="10"/>
  <c r="H332" i="10" l="1"/>
  <c r="I331" i="10"/>
  <c r="A331" i="10"/>
  <c r="B330" i="10"/>
  <c r="M330" i="10"/>
  <c r="K330" i="10"/>
  <c r="J330" i="10"/>
  <c r="L330" i="10"/>
  <c r="D329" i="10"/>
  <c r="F329" i="10"/>
  <c r="E329" i="10"/>
  <c r="C329" i="10"/>
  <c r="D330" i="10" l="1"/>
  <c r="F330" i="10"/>
  <c r="E330" i="10"/>
  <c r="C330" i="10"/>
  <c r="B331" i="10"/>
  <c r="A332" i="10"/>
  <c r="K331" i="10"/>
  <c r="L331" i="10"/>
  <c r="M331" i="10"/>
  <c r="J331" i="10"/>
  <c r="I332" i="10"/>
  <c r="H333" i="10"/>
  <c r="I333" i="10" l="1"/>
  <c r="H334" i="10"/>
  <c r="A333" i="10"/>
  <c r="B332" i="10"/>
  <c r="J332" i="10"/>
  <c r="K332" i="10"/>
  <c r="M332" i="10"/>
  <c r="L332" i="10"/>
  <c r="F331" i="10"/>
  <c r="E331" i="10"/>
  <c r="C331" i="10"/>
  <c r="D331" i="10"/>
  <c r="E332" i="10" l="1"/>
  <c r="D332" i="10"/>
  <c r="F332" i="10"/>
  <c r="C332" i="10"/>
  <c r="A334" i="10"/>
  <c r="B333" i="10"/>
  <c r="H335" i="10"/>
  <c r="I334" i="10"/>
  <c r="K333" i="10"/>
  <c r="J333" i="10"/>
  <c r="M333" i="10"/>
  <c r="L333" i="10"/>
  <c r="M334" i="10" l="1"/>
  <c r="K334" i="10"/>
  <c r="J334" i="10"/>
  <c r="L334" i="10"/>
  <c r="I335" i="10"/>
  <c r="H336" i="10"/>
  <c r="D333" i="10"/>
  <c r="E333" i="10"/>
  <c r="F333" i="10"/>
  <c r="C333" i="10"/>
  <c r="A335" i="10"/>
  <c r="B334" i="10"/>
  <c r="F334" i="10" l="1"/>
  <c r="E334" i="10"/>
  <c r="D334" i="10"/>
  <c r="C334" i="10"/>
  <c r="B335" i="10"/>
  <c r="A336" i="10"/>
  <c r="H337" i="10"/>
  <c r="I336" i="10"/>
  <c r="K335" i="10"/>
  <c r="L335" i="10"/>
  <c r="J335" i="10"/>
  <c r="M335" i="10"/>
  <c r="B336" i="10" l="1"/>
  <c r="A337" i="10"/>
  <c r="F335" i="10"/>
  <c r="D335" i="10"/>
  <c r="E335" i="10"/>
  <c r="C335" i="10"/>
  <c r="K336" i="10"/>
  <c r="M336" i="10"/>
  <c r="L336" i="10"/>
  <c r="J336" i="10"/>
  <c r="H338" i="10"/>
  <c r="I337" i="10"/>
  <c r="M337" i="10" l="1"/>
  <c r="K337" i="10"/>
  <c r="J337" i="10"/>
  <c r="L337" i="10"/>
  <c r="B337" i="10"/>
  <c r="A338" i="10"/>
  <c r="H339" i="10"/>
  <c r="I338" i="10"/>
  <c r="F336" i="10"/>
  <c r="E336" i="10"/>
  <c r="D336" i="10"/>
  <c r="C336" i="10"/>
  <c r="D337" i="10" l="1"/>
  <c r="E337" i="10"/>
  <c r="C337" i="10"/>
  <c r="F337" i="10"/>
  <c r="I339" i="10"/>
  <c r="H340" i="10"/>
  <c r="A339" i="10"/>
  <c r="B338" i="10"/>
  <c r="L338" i="10"/>
  <c r="K338" i="10"/>
  <c r="J338" i="10"/>
  <c r="M338" i="10"/>
  <c r="B339" i="10" l="1"/>
  <c r="A340" i="10"/>
  <c r="L339" i="10"/>
  <c r="M339" i="10"/>
  <c r="J339" i="10"/>
  <c r="K339" i="10"/>
  <c r="F338" i="10"/>
  <c r="C338" i="10"/>
  <c r="D338" i="10"/>
  <c r="E338" i="10"/>
  <c r="H341" i="10"/>
  <c r="I340" i="10"/>
  <c r="A341" i="10" l="1"/>
  <c r="B340" i="10"/>
  <c r="K340" i="10"/>
  <c r="L340" i="10"/>
  <c r="M340" i="10"/>
  <c r="J340" i="10"/>
  <c r="H342" i="10"/>
  <c r="I341" i="10"/>
  <c r="C339" i="10"/>
  <c r="F339" i="10"/>
  <c r="D339" i="10"/>
  <c r="E339" i="10"/>
  <c r="M341" i="10" l="1"/>
  <c r="L341" i="10"/>
  <c r="K341" i="10"/>
  <c r="J341" i="10"/>
  <c r="I342" i="10"/>
  <c r="H343" i="10"/>
  <c r="D340" i="10"/>
  <c r="F340" i="10"/>
  <c r="E340" i="10"/>
  <c r="C340" i="10"/>
  <c r="A342" i="10"/>
  <c r="B341" i="10"/>
  <c r="F341" i="10" l="1"/>
  <c r="C341" i="10"/>
  <c r="D341" i="10"/>
  <c r="E341" i="10"/>
  <c r="A343" i="10"/>
  <c r="B342" i="10"/>
  <c r="M342" i="10"/>
  <c r="L342" i="10"/>
  <c r="J342" i="10"/>
  <c r="K342" i="10"/>
  <c r="H344" i="10"/>
  <c r="I343" i="10"/>
  <c r="D342" i="10" l="1"/>
  <c r="C342" i="10"/>
  <c r="F342" i="10"/>
  <c r="E342" i="10"/>
  <c r="K343" i="10"/>
  <c r="M343" i="10"/>
  <c r="J343" i="10"/>
  <c r="L343" i="10"/>
  <c r="B343" i="10"/>
  <c r="A344" i="10"/>
  <c r="I344" i="10"/>
  <c r="H345" i="10"/>
  <c r="D343" i="10" l="1"/>
  <c r="C343" i="10"/>
  <c r="F343" i="10"/>
  <c r="E343" i="10"/>
  <c r="I345" i="10"/>
  <c r="H346" i="10"/>
  <c r="M344" i="10"/>
  <c r="K344" i="10"/>
  <c r="L344" i="10"/>
  <c r="J344" i="10"/>
  <c r="B344" i="10"/>
  <c r="A345" i="10"/>
  <c r="I346" i="10" l="1"/>
  <c r="H347" i="10"/>
  <c r="B345" i="10"/>
  <c r="A346" i="10"/>
  <c r="M345" i="10"/>
  <c r="L345" i="10"/>
  <c r="J345" i="10"/>
  <c r="K345" i="10"/>
  <c r="D344" i="10"/>
  <c r="F344" i="10"/>
  <c r="E344" i="10"/>
  <c r="C344" i="10"/>
  <c r="B346" i="10" l="1"/>
  <c r="A347" i="10"/>
  <c r="F345" i="10"/>
  <c r="D345" i="10"/>
  <c r="C345" i="10"/>
  <c r="E345" i="10"/>
  <c r="H348" i="10"/>
  <c r="I347" i="10"/>
  <c r="J346" i="10"/>
  <c r="M346" i="10"/>
  <c r="K346" i="10"/>
  <c r="L346" i="10"/>
  <c r="K347" i="10" l="1"/>
  <c r="L347" i="10"/>
  <c r="J347" i="10"/>
  <c r="M347" i="10"/>
  <c r="I348" i="10"/>
  <c r="H349" i="10"/>
  <c r="A348" i="10"/>
  <c r="B347" i="10"/>
  <c r="F346" i="10"/>
  <c r="E346" i="10"/>
  <c r="D346" i="10"/>
  <c r="C346" i="10"/>
  <c r="D347" i="10" l="1"/>
  <c r="E347" i="10"/>
  <c r="C347" i="10"/>
  <c r="F347" i="10"/>
  <c r="I349" i="10"/>
  <c r="H350" i="10"/>
  <c r="M348" i="10"/>
  <c r="J348" i="10"/>
  <c r="L348" i="10"/>
  <c r="K348" i="10"/>
  <c r="A349" i="10"/>
  <c r="B348" i="10"/>
  <c r="I350" i="10" l="1"/>
  <c r="H351" i="10"/>
  <c r="A350" i="10"/>
  <c r="B349" i="10"/>
  <c r="F348" i="10"/>
  <c r="C348" i="10"/>
  <c r="D348" i="10"/>
  <c r="E348" i="10"/>
  <c r="M349" i="10"/>
  <c r="L349" i="10"/>
  <c r="K349" i="10"/>
  <c r="J349" i="10"/>
  <c r="B350" i="10" l="1"/>
  <c r="A351" i="10"/>
  <c r="E349" i="10"/>
  <c r="D349" i="10"/>
  <c r="C349" i="10"/>
  <c r="F349" i="10"/>
  <c r="H352" i="10"/>
  <c r="I351" i="10"/>
  <c r="K350" i="10"/>
  <c r="J350" i="10"/>
  <c r="L350" i="10"/>
  <c r="M350" i="10"/>
  <c r="M351" i="10" l="1"/>
  <c r="J351" i="10"/>
  <c r="L351" i="10"/>
  <c r="K351" i="10"/>
  <c r="I352" i="10"/>
  <c r="H353" i="10"/>
  <c r="B351" i="10"/>
  <c r="A352" i="10"/>
  <c r="F350" i="10"/>
  <c r="D350" i="10"/>
  <c r="E350" i="10"/>
  <c r="C350" i="10"/>
  <c r="I353" i="10" l="1"/>
  <c r="H354" i="10"/>
  <c r="D351" i="10"/>
  <c r="F351" i="10"/>
  <c r="E351" i="10"/>
  <c r="C351" i="10"/>
  <c r="K352" i="10"/>
  <c r="J352" i="10"/>
  <c r="M352" i="10"/>
  <c r="L352" i="10"/>
  <c r="B352" i="10"/>
  <c r="A353" i="10"/>
  <c r="F352" i="10" l="1"/>
  <c r="D352" i="10"/>
  <c r="E352" i="10"/>
  <c r="C352" i="10"/>
  <c r="H355" i="10"/>
  <c r="I354" i="10"/>
  <c r="B353" i="10"/>
  <c r="A354" i="10"/>
  <c r="L353" i="10"/>
  <c r="M353" i="10"/>
  <c r="J353" i="10"/>
  <c r="K353" i="10"/>
  <c r="F353" i="10" l="1"/>
  <c r="E353" i="10"/>
  <c r="D353" i="10"/>
  <c r="C353" i="10"/>
  <c r="B354" i="10"/>
  <c r="A355" i="10"/>
  <c r="K354" i="10"/>
  <c r="L354" i="10"/>
  <c r="M354" i="10"/>
  <c r="J354" i="10"/>
  <c r="H356" i="10"/>
  <c r="I355" i="10"/>
  <c r="I356" i="10" l="1"/>
  <c r="H357" i="10"/>
  <c r="B355" i="10"/>
  <c r="A356" i="10"/>
  <c r="D354" i="10"/>
  <c r="F354" i="10"/>
  <c r="C354" i="10"/>
  <c r="E354" i="10"/>
  <c r="M355" i="10"/>
  <c r="K355" i="10"/>
  <c r="L355" i="10"/>
  <c r="J355" i="10"/>
  <c r="A357" i="10" l="1"/>
  <c r="B356" i="10"/>
  <c r="F355" i="10"/>
  <c r="E355" i="10"/>
  <c r="D355" i="10"/>
  <c r="C355" i="10"/>
  <c r="H358" i="10"/>
  <c r="I357" i="10"/>
  <c r="L356" i="10"/>
  <c r="K356" i="10"/>
  <c r="M356" i="10"/>
  <c r="J356" i="10"/>
  <c r="K357" i="10" l="1"/>
  <c r="L357" i="10"/>
  <c r="M357" i="10"/>
  <c r="J357" i="10"/>
  <c r="H359" i="10"/>
  <c r="I358" i="10"/>
  <c r="C356" i="10"/>
  <c r="E356" i="10"/>
  <c r="D356" i="10"/>
  <c r="F356" i="10"/>
  <c r="B357" i="10"/>
  <c r="A358" i="10"/>
  <c r="F357" i="10" l="1"/>
  <c r="E357" i="10"/>
  <c r="C357" i="10"/>
  <c r="D357" i="10"/>
  <c r="M358" i="10"/>
  <c r="L358" i="10"/>
  <c r="J358" i="10"/>
  <c r="K358" i="10"/>
  <c r="I359" i="10"/>
  <c r="H360" i="10"/>
  <c r="B358" i="10"/>
  <c r="A359" i="10"/>
  <c r="M359" i="10" l="1"/>
  <c r="K359" i="10"/>
  <c r="L359" i="10"/>
  <c r="J359" i="10"/>
  <c r="A360" i="10"/>
  <c r="B359" i="10"/>
  <c r="D358" i="10"/>
  <c r="C358" i="10"/>
  <c r="E358" i="10"/>
  <c r="F358" i="10"/>
  <c r="I360" i="10"/>
  <c r="H361" i="10"/>
  <c r="I361" i="10" l="1"/>
  <c r="H362" i="10"/>
  <c r="M360" i="10"/>
  <c r="L360" i="10"/>
  <c r="K360" i="10"/>
  <c r="J360" i="10"/>
  <c r="F359" i="10"/>
  <c r="E359" i="10"/>
  <c r="D359" i="10"/>
  <c r="C359" i="10"/>
  <c r="B360" i="10"/>
  <c r="A361" i="10"/>
  <c r="A362" i="10" l="1"/>
  <c r="B361" i="10"/>
  <c r="D360" i="10"/>
  <c r="E360" i="10"/>
  <c r="F360" i="10"/>
  <c r="C360" i="10"/>
  <c r="H363" i="10"/>
  <c r="I362" i="10"/>
  <c r="K361" i="10"/>
  <c r="M361" i="10"/>
  <c r="L361" i="10"/>
  <c r="J361" i="10"/>
  <c r="M362" i="10" l="1"/>
  <c r="L362" i="10"/>
  <c r="K362" i="10"/>
  <c r="J362" i="10"/>
  <c r="I363" i="10"/>
  <c r="H364" i="10"/>
  <c r="D361" i="10"/>
  <c r="E361" i="10"/>
  <c r="F361" i="10"/>
  <c r="C361" i="10"/>
  <c r="A363" i="10"/>
  <c r="B362" i="10"/>
  <c r="H365" i="10" l="1"/>
  <c r="I364" i="10"/>
  <c r="F362" i="10"/>
  <c r="D362" i="10"/>
  <c r="C362" i="10"/>
  <c r="E362" i="10"/>
  <c r="J363" i="10"/>
  <c r="L363" i="10"/>
  <c r="M363" i="10"/>
  <c r="K363" i="10"/>
  <c r="A364" i="10"/>
  <c r="B363" i="10"/>
  <c r="B364" i="10" l="1"/>
  <c r="A365" i="10"/>
  <c r="E363" i="10"/>
  <c r="C363" i="10"/>
  <c r="D363" i="10"/>
  <c r="F363" i="10"/>
  <c r="K364" i="10"/>
  <c r="M364" i="10"/>
  <c r="L364" i="10"/>
  <c r="J364" i="10"/>
  <c r="I365" i="10"/>
  <c r="H366" i="10"/>
  <c r="M365" i="10" l="1"/>
  <c r="J365" i="10"/>
  <c r="K365" i="10"/>
  <c r="L365" i="10"/>
  <c r="A366" i="10"/>
  <c r="B365" i="10"/>
  <c r="H367" i="10"/>
  <c r="I366" i="10"/>
  <c r="E364" i="10"/>
  <c r="D364" i="10"/>
  <c r="C364" i="10"/>
  <c r="F364" i="10"/>
  <c r="I367" i="10" l="1"/>
  <c r="H368" i="10"/>
  <c r="I368" i="10" s="1"/>
  <c r="D365" i="10"/>
  <c r="E365" i="10"/>
  <c r="F365" i="10"/>
  <c r="C365" i="10"/>
  <c r="A367" i="10"/>
  <c r="B366" i="10"/>
  <c r="L366" i="10"/>
  <c r="M366" i="10"/>
  <c r="J366" i="10"/>
  <c r="K366" i="10"/>
  <c r="F366" i="10" l="1"/>
  <c r="E366" i="10"/>
  <c r="D366" i="10"/>
  <c r="C366" i="10"/>
  <c r="B367" i="10"/>
  <c r="A368" i="10"/>
  <c r="B368" i="10" s="1"/>
  <c r="K368" i="10"/>
  <c r="M368" i="10"/>
  <c r="J368" i="10"/>
  <c r="L368" i="10"/>
  <c r="K367" i="10"/>
  <c r="J367" i="10"/>
  <c r="M367" i="10"/>
  <c r="L367" i="10"/>
  <c r="D368" i="10" l="1"/>
  <c r="F368" i="10"/>
  <c r="E368" i="10"/>
  <c r="C368" i="10"/>
  <c r="D367" i="10"/>
  <c r="F367" i="10"/>
  <c r="C367" i="10"/>
  <c r="E367"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C11" authorId="0" shapeId="0" xr:uid="{00000000-0006-0000-0E00-000001000000}">
      <text>
        <r>
          <rPr>
            <sz val="12"/>
            <color rgb="FF000000"/>
            <rFont val="Verdana"/>
          </rPr>
          <t>Open ended, all countries where employees work
	-Nichole Arbino
Stays in GNRL
	-Nichole Arbino</t>
        </r>
      </text>
    </comment>
    <comment ref="C49" authorId="0" shapeId="0" xr:uid="{00000000-0006-0000-0E00-000002000000}">
      <text>
        <r>
          <rPr>
            <sz val="12"/>
            <color rgb="FF000000"/>
            <rFont val="Verdana"/>
          </rPr>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r>
      </text>
    </comment>
  </commentList>
</comments>
</file>

<file path=xl/sharedStrings.xml><?xml version="1.0" encoding="utf-8"?>
<sst xmlns="http://schemas.openxmlformats.org/spreadsheetml/2006/main" count="5798" uniqueCount="1995">
  <si>
    <t xml:space="preserve">Cells contained in this worksheet may contain cells with dropdown lists as well as autopopulated formulas. </t>
  </si>
  <si>
    <t>HECVAT™ Solution Provider Response - Start Here</t>
  </si>
  <si>
    <t>Date Completed</t>
  </si>
  <si>
    <t>Instructions for Solution Providers</t>
  </si>
  <si>
    <t>GNRL-01</t>
  </si>
  <si>
    <t>SmartPLS GmbH</t>
  </si>
  <si>
    <t>GNRL-02</t>
  </si>
  <si>
    <t>GNRL-03</t>
  </si>
  <si>
    <t>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t>
  </si>
  <si>
    <t>GNRL-04</t>
  </si>
  <si>
    <t>Sven Wende</t>
  </si>
  <si>
    <t>GNRL-05</t>
  </si>
  <si>
    <t>Co-Founder &amp; Managing Director</t>
  </si>
  <si>
    <t>GNRL-06</t>
  </si>
  <si>
    <t>s.wende@smartpls.gmbh</t>
  </si>
  <si>
    <t>GNRL-07</t>
  </si>
  <si>
    <t>+49 02173 2643460</t>
  </si>
  <si>
    <t>GNRL-08</t>
  </si>
  <si>
    <t>Germany</t>
  </si>
  <si>
    <t>GNRL-09</t>
  </si>
  <si>
    <t>Germany, Norway</t>
  </si>
  <si>
    <t>Answer</t>
  </si>
  <si>
    <t>Additional Information</t>
  </si>
  <si>
    <t>Guidance</t>
  </si>
  <si>
    <t>Analyst Notes</t>
  </si>
  <si>
    <t>COMP-01</t>
  </si>
  <si>
    <t>No</t>
  </si>
  <si>
    <t>COMP-02</t>
  </si>
  <si>
    <t>SmartPLS GmbH is a privately held, founder-owned German Gesellschaft mit beschränkter Haftung (GmbH), headquartered in Bönningstedt, Germany. It has three shareholders, who are also its only personnel (two based in Germany, one in Norway). SmartPLS GmbH has no parent company and no subsidiaries.</t>
  </si>
  <si>
    <t>COMP-03</t>
  </si>
  <si>
    <t>Yes</t>
  </si>
  <si>
    <t>No unplanned disruptions to the SmartPLS Desktop software or license service in the past 12 months.</t>
  </si>
  <si>
    <t>COMP-04</t>
  </si>
  <si>
    <t>COMP-05</t>
  </si>
  <si>
    <t>SmartPLS Desktop is a locally installed application: customer research data is created, processed, and stored entirely on the customer’s own device and is never transmitted to or accessible by SmartPLS. The only data SmartPLS GmbH itself handles are (a) license administration data (name, email, institution), processed via our licensing provider Nalpeiron; (b) optional, anonymized usage/crash telemetry received on our own EU-hosted servers (Domainfactory and Strato); and (c) payment data, which is handled entirely by our payment service provider, Adyen, and never touches SmartPLS systems.</t>
  </si>
  <si>
    <t>End Table Data</t>
  </si>
  <si>
    <t>REQU-01</t>
  </si>
  <si>
    <t>SmartPLS is a locally installed Java application; it is not a cloud-hosted product.</t>
  </si>
  <si>
    <t>REQU-02</t>
  </si>
  <si>
    <t>SmartPLS Desktop has a graphical user interface.</t>
  </si>
  <si>
    <t>REQU-03</t>
  </si>
  <si>
    <t>SmartPLS does not provide consulting services as part of this engagement.</t>
  </si>
  <si>
    <t>REQU-04</t>
  </si>
  <si>
    <t>SmartPLS Desktop has no AI or machine-learning features, and none are planned in the next 12 months.</t>
  </si>
  <si>
    <t>REQU-05</t>
  </si>
  <si>
    <t>SmartPLS does not process protected health information or other HIPAA-covered data.</t>
  </si>
  <si>
    <t>REQU-06</t>
  </si>
  <si>
    <t>License purchases are processed by our payment service provider, Adyen; SmartPLS does not itself store, process, or transmit cardholder data.</t>
  </si>
  <si>
    <t>REQU-07</t>
  </si>
  <si>
    <t>SmartPLS Desktop requires no institution-hosted appliance and no inbound firewall exceptions for remote administration.</t>
  </si>
  <si>
    <t>REQU-08</t>
  </si>
  <si>
    <t>SmartPLS has access to limited personal data used for license administration (name, email, institution) and optional anonymized usage/crash telemetry. It does not have access to institutional research data, which remains on the customer’s own device at all times.</t>
  </si>
  <si>
    <t xml:space="preserve">Note: The "Organization" tab is required for ALL products and services. </t>
  </si>
  <si>
    <t>Copyright © 2025 EDUCAUSE</t>
  </si>
  <si>
    <t>HECVAT Solution Provider Response - Organization</t>
  </si>
  <si>
    <t>DOCU-01</t>
  </si>
  <si>
    <t>DOCU-02</t>
  </si>
  <si>
    <t>DOCU-03</t>
  </si>
  <si>
    <t>DOCU-04</t>
  </si>
  <si>
    <t>DOCU-05</t>
  </si>
  <si>
    <t>DOCU-06</t>
  </si>
  <si>
    <t>A data privacy policy/privacy notice is published: https://smartpls.com/privacy/</t>
  </si>
  <si>
    <t>DOCU-07</t>
  </si>
  <si>
    <t>THRD-01</t>
  </si>
  <si>
    <t>SmartPLS GmbH selects established providers (Nalpeiron for licensing, Domainfactory and Strato for hosting, Adyen for payments) but does not perform formal, documented security assessments of these third parties given the size of the company.</t>
  </si>
  <si>
    <t>THRD-02</t>
  </si>
  <si>
    <t>Standard data processing agreements (Art. 28 GDPR) are in place with our processors (e.g., hosting and payment providers) governing access to and use of any personal data.</t>
  </si>
  <si>
    <t>THRD-03</t>
  </si>
  <si>
    <t>Contracts with our third-party processors follow their standard terms, which address liability and breach notification; SmartPLS GmbH has not separately negotiated bespoke breach-liability clauses.</t>
  </si>
  <si>
    <t>THRD-04</t>
  </si>
  <si>
    <t>THRD-05</t>
  </si>
  <si>
    <t>Not applicable — SmartPLS GmbH does not manufacture or distribute hardware; the product is software delivered by download.</t>
  </si>
  <si>
    <t>CHNG-01</t>
  </si>
  <si>
    <t>Customers are informed of major SmartPLS releases via the website and, where relevant, direct email.</t>
  </si>
  <si>
    <t>CHNG-02</t>
  </si>
  <si>
    <t>N/A</t>
  </si>
  <si>
    <t>SmartPLS Desktop is a standard, non-customized product; there is no client-specific customization between releases.</t>
  </si>
  <si>
    <t>CHNG-03</t>
  </si>
  <si>
    <t>SmartPLS Desktop is a locally installed application; SmartPLS does not operate customer-facing servers requiring configuration-management "gold images."</t>
  </si>
  <si>
    <t>CHNG-04</t>
  </si>
  <si>
    <t>New releases follow an internal review and testing process before publication.</t>
  </si>
  <si>
    <t>CHNG-05</t>
  </si>
  <si>
    <t>Releases are tested and validated by the team before being made available for download.</t>
  </si>
  <si>
    <t>CHNG-06</t>
  </si>
  <si>
    <t>Third-party libraries are reviewed for continued support as part of each major release cycle.</t>
  </si>
  <si>
    <t>CHNG-07</t>
  </si>
  <si>
    <t>Critical fixes are released as updates that customers can download and install at any time.</t>
  </si>
  <si>
    <t>CHNG-08</t>
  </si>
  <si>
    <t>There is no separate, formal policy for mitigating risk while a fix is pending, beyond expediting release of a patch.</t>
  </si>
  <si>
    <t>CHNG-09</t>
  </si>
  <si>
    <t>Because SmartPLS Desktop is installed locally, customers control if and when they install a new version; older versions continue to run.</t>
  </si>
  <si>
    <t>CHNG-10</t>
  </si>
  <si>
    <t>CHNG-11</t>
  </si>
  <si>
    <t>SmartPLS is updated periodically, with release notes published on smartpls.com.</t>
  </si>
  <si>
    <t>CHNG-12</t>
  </si>
  <si>
    <t>CHNG-13</t>
  </si>
  <si>
    <t>Customers install updates themselves; no institutional involvement from SmartPLS GmbH is required.</t>
  </si>
  <si>
    <t>CHNG-14</t>
  </si>
  <si>
    <t>As the customer controls installation timing, updates do not disrupt operations.</t>
  </si>
  <si>
    <t>CHNG-15</t>
  </si>
  <si>
    <t>CHNG-16</t>
  </si>
  <si>
    <t>PPPR-01</t>
  </si>
  <si>
    <t>Updates addressing known issues are released as needed; there is no separate formal written patch-management policy beyond this practice.</t>
  </si>
  <si>
    <t>PPPR-02</t>
  </si>
  <si>
    <t>SmartPLS GmbH will work with institutions to accommodate reasonable privacy and data-protection requirements.</t>
  </si>
  <si>
    <t>PPPR-03</t>
  </si>
  <si>
    <t>SmartPLS GmbH is subject to German and EU law (including GDPR) and will contractually agree to comply with applicable requirements of an institution’s jurisdiction as needed.</t>
  </si>
  <si>
    <t>PPPR-04</t>
  </si>
  <si>
    <t>Standard open encryption protocols (e.g., TLS) are used for data in transit to our servers.</t>
  </si>
  <si>
    <t>PPPR-05</t>
  </si>
  <si>
    <t>PPPR-06</t>
  </si>
  <si>
    <t>PPPR-07</t>
  </si>
  <si>
    <t>PPPR-08</t>
  </si>
  <si>
    <t>PPPR-09</t>
  </si>
  <si>
    <t>Basic security considerations (e.g., least-privilege access, encrypted connections) are taken into account during development.</t>
  </si>
  <si>
    <t>PPPR-10</t>
  </si>
  <si>
    <t>SmartPLS GmbH will comply with applicable breach-notification laws, including under GDPR.</t>
  </si>
  <si>
    <t>PPPR-11</t>
  </si>
  <si>
    <t>PPPR-12</t>
  </si>
  <si>
    <t>PPPR-13</t>
  </si>
  <si>
    <t>PPPR-14</t>
  </si>
  <si>
    <t>PPPR-15</t>
  </si>
  <si>
    <t>As a small, distributed team working from private home/office premises, physical security consists of standard locked premises; there are no shared offices or data centers to secure.</t>
  </si>
  <si>
    <t>HECVAT Solution Provider Response - Product</t>
  </si>
  <si>
    <t>AAAI-01</t>
  </si>
  <si>
    <t>AAAI-02</t>
  </si>
  <si>
    <t>AAAI-03</t>
  </si>
  <si>
    <t>AAAI-04</t>
  </si>
  <si>
    <t>AAAI-05</t>
  </si>
  <si>
    <t>AAAI-06</t>
  </si>
  <si>
    <t>AAAI-07</t>
  </si>
  <si>
    <t>AAAI-08</t>
  </si>
  <si>
    <t>AAAI-09</t>
  </si>
  <si>
    <t>AAAI-10</t>
  </si>
  <si>
    <t>AAAI-11</t>
  </si>
  <si>
    <t>AAAI-12</t>
  </si>
  <si>
    <t>AAAI-13</t>
  </si>
  <si>
    <t>AAAI-14</t>
  </si>
  <si>
    <t>AAAI-15</t>
  </si>
  <si>
    <t>AAAI-16</t>
  </si>
  <si>
    <t>AAAI-17</t>
  </si>
  <si>
    <t>AAAI-18</t>
  </si>
  <si>
    <t>DATA-01</t>
  </si>
  <si>
    <t>DATA-02</t>
  </si>
  <si>
    <t>DATA-03</t>
  </si>
  <si>
    <t>DATA-04</t>
  </si>
  <si>
    <t>DATA-05</t>
  </si>
  <si>
    <t>DATA-06</t>
  </si>
  <si>
    <t>DATA-07</t>
  </si>
  <si>
    <t>DATA-08</t>
  </si>
  <si>
    <t>DATA-09</t>
  </si>
  <si>
    <t>DATA-10</t>
  </si>
  <si>
    <t>DATA-11</t>
  </si>
  <si>
    <t>DATA-12</t>
  </si>
  <si>
    <t>DATA-13</t>
  </si>
  <si>
    <t>DATA-14</t>
  </si>
  <si>
    <t>DATA-15</t>
  </si>
  <si>
    <t>DATA-16</t>
  </si>
  <si>
    <t>DATA-17</t>
  </si>
  <si>
    <t>DATA-18</t>
  </si>
  <si>
    <t>DATA-19</t>
  </si>
  <si>
    <t>DATA-20</t>
  </si>
  <si>
    <t>DATA-21</t>
  </si>
  <si>
    <t>DATA-22</t>
  </si>
  <si>
    <t>DATA-23</t>
  </si>
  <si>
    <t>HECVAT Solution Provider Response - Infrastructure</t>
  </si>
  <si>
    <t>APPL-01</t>
  </si>
  <si>
    <t>APPL-02</t>
  </si>
  <si>
    <t>APPL-03</t>
  </si>
  <si>
    <t>APPL-04</t>
  </si>
  <si>
    <t>APPL-05</t>
  </si>
  <si>
    <t>APPL-06</t>
  </si>
  <si>
    <t>APPL-07</t>
  </si>
  <si>
    <t>APPL-08</t>
  </si>
  <si>
    <t>APPL-09</t>
  </si>
  <si>
    <t>APPL-10</t>
  </si>
  <si>
    <t>APPL-11</t>
  </si>
  <si>
    <t>APPL-12</t>
  </si>
  <si>
    <t>APPL-13</t>
  </si>
  <si>
    <t>APPL-14</t>
  </si>
  <si>
    <t>DCTR-01</t>
  </si>
  <si>
    <t>DCTR-02</t>
  </si>
  <si>
    <t>DCTR-03</t>
  </si>
  <si>
    <t>DCTR-04</t>
  </si>
  <si>
    <t>DCTR-05</t>
  </si>
  <si>
    <t>DCTR-06</t>
  </si>
  <si>
    <t>DCTR-07</t>
  </si>
  <si>
    <t>DCTR-08</t>
  </si>
  <si>
    <t>DCTR-09</t>
  </si>
  <si>
    <t>DCTR-10</t>
  </si>
  <si>
    <t>DCTR-11</t>
  </si>
  <si>
    <t>DCTR-12</t>
  </si>
  <si>
    <t>DCTR-13</t>
  </si>
  <si>
    <t>DCTR-14</t>
  </si>
  <si>
    <t>DCTR-15</t>
  </si>
  <si>
    <t>DCTR-16</t>
  </si>
  <si>
    <t>FIDP-01</t>
  </si>
  <si>
    <t>FIDP-02</t>
  </si>
  <si>
    <t>FIDP-03</t>
  </si>
  <si>
    <t>FIDP-04</t>
  </si>
  <si>
    <t>FIDP-05</t>
  </si>
  <si>
    <t>FIDP-06</t>
  </si>
  <si>
    <t>FIDP-07</t>
  </si>
  <si>
    <t>FIDP-08</t>
  </si>
  <si>
    <t>FIDP-09</t>
  </si>
  <si>
    <t>FIDP-10</t>
  </si>
  <si>
    <t>FIDP-11</t>
  </si>
  <si>
    <t>HFIH-01</t>
  </si>
  <si>
    <t>HFIH-02</t>
  </si>
  <si>
    <t>HFIH-03</t>
  </si>
  <si>
    <t>HFIH-04</t>
  </si>
  <si>
    <t>VULN-01</t>
  </si>
  <si>
    <t>VULN-02</t>
  </si>
  <si>
    <t>VULN-03</t>
  </si>
  <si>
    <t>VULN-04</t>
  </si>
  <si>
    <t>VULN-05</t>
  </si>
  <si>
    <t>VULN-06</t>
  </si>
  <si>
    <t>HECVAT Solution Provider Response - IT Accessibility</t>
  </si>
  <si>
    <t>ITAC-01</t>
  </si>
  <si>
    <t>ITAC-02</t>
  </si>
  <si>
    <t>ITAC-03</t>
  </si>
  <si>
    <t>ITAC-04</t>
  </si>
  <si>
    <t>+49 21732643460</t>
  </si>
  <si>
    <t>ITAC-05</t>
  </si>
  <si>
    <t>https://smartpls.com/vpat</t>
  </si>
  <si>
    <t>ITAC-06</t>
  </si>
  <si>
    <t>ITAC-07</t>
  </si>
  <si>
    <t>ITAC-08</t>
  </si>
  <si>
    <t>ITAC-09</t>
  </si>
  <si>
    <t>ITAC-10</t>
  </si>
  <si>
    <t>ITAC-11</t>
  </si>
  <si>
    <t>ITAC-12</t>
  </si>
  <si>
    <t>ITAC-13</t>
  </si>
  <si>
    <t>ITAC-14</t>
  </si>
  <si>
    <t>ITAC-15</t>
  </si>
  <si>
    <t>ITAC-16</t>
  </si>
  <si>
    <t>ITAC-17</t>
  </si>
  <si>
    <t>ITAC-18</t>
  </si>
  <si>
    <t>SmartPLS Desktop has a single, unified interface; it does not rely on a separate "accessibility mode," lite version, or overlay.</t>
  </si>
  <si>
    <t>HECVAT Solution Provider Response - Case-Specific Questions</t>
  </si>
  <si>
    <t>CONS-01</t>
  </si>
  <si>
    <t>CONS-02</t>
  </si>
  <si>
    <t>CONS-03</t>
  </si>
  <si>
    <t>CONS-04</t>
  </si>
  <si>
    <t>CONS-05</t>
  </si>
  <si>
    <t>CONS-06</t>
  </si>
  <si>
    <t>CONS-07</t>
  </si>
  <si>
    <t>CONS-08</t>
  </si>
  <si>
    <t>CONS-09</t>
  </si>
  <si>
    <t>HIPA-01</t>
  </si>
  <si>
    <t>HIPA-02</t>
  </si>
  <si>
    <t>HIPA-03</t>
  </si>
  <si>
    <t>HIPA-04</t>
  </si>
  <si>
    <t>HIPA-05</t>
  </si>
  <si>
    <t>HIPA-06</t>
  </si>
  <si>
    <t>HIPA-07</t>
  </si>
  <si>
    <t>HIPA-08</t>
  </si>
  <si>
    <t>HIPA-09</t>
  </si>
  <si>
    <t>HIPA-10</t>
  </si>
  <si>
    <t>HIPA-11</t>
  </si>
  <si>
    <t>HIPA-12</t>
  </si>
  <si>
    <t>HIPA-13</t>
  </si>
  <si>
    <t>HIPA-14</t>
  </si>
  <si>
    <t>HIPA-15</t>
  </si>
  <si>
    <t>HIPA-16</t>
  </si>
  <si>
    <t>HIPA-17</t>
  </si>
  <si>
    <t>HIPA-18</t>
  </si>
  <si>
    <t>HIPA-19</t>
  </si>
  <si>
    <t>HIPA-20</t>
  </si>
  <si>
    <t>HIPA-21</t>
  </si>
  <si>
    <t>HIPA-22</t>
  </si>
  <si>
    <t>HIPA-23</t>
  </si>
  <si>
    <t>HIPA-24</t>
  </si>
  <si>
    <t>HIPA-25</t>
  </si>
  <si>
    <t>HIPA-26</t>
  </si>
  <si>
    <t>HIPA-27</t>
  </si>
  <si>
    <t>HIPA-28</t>
  </si>
  <si>
    <t>HIPA-29</t>
  </si>
  <si>
    <t>PCID-01</t>
  </si>
  <si>
    <t>PCID-02</t>
  </si>
  <si>
    <t>PCID-03</t>
  </si>
  <si>
    <t>PCID-04</t>
  </si>
  <si>
    <t>PCID-05</t>
  </si>
  <si>
    <t>PCID-06</t>
  </si>
  <si>
    <t>PCID-07</t>
  </si>
  <si>
    <t>PCID-08</t>
  </si>
  <si>
    <t>PCID-09</t>
  </si>
  <si>
    <t>PCID-10</t>
  </si>
  <si>
    <t>PCID-11</t>
  </si>
  <si>
    <t>PCID-12</t>
  </si>
  <si>
    <t>OPEM-01</t>
  </si>
  <si>
    <t>OPEM-02</t>
  </si>
  <si>
    <t>OPEM-03</t>
  </si>
  <si>
    <t>OPEM-04</t>
  </si>
  <si>
    <t>OPEM-05</t>
  </si>
  <si>
    <t>OPEM-06</t>
  </si>
  <si>
    <t>OPEM-07</t>
  </si>
  <si>
    <t>OPEM-08</t>
  </si>
  <si>
    <t>OPEM-09</t>
  </si>
  <si>
    <t>OPEM-10</t>
  </si>
  <si>
    <t>HECVAT Solution Provider Response - AI</t>
  </si>
  <si>
    <t>AIQU-01</t>
  </si>
  <si>
    <t>AIQU-02</t>
  </si>
  <si>
    <t>AIGN-01</t>
  </si>
  <si>
    <t>AIGN-02</t>
  </si>
  <si>
    <t>AIGN-03</t>
  </si>
  <si>
    <t>AIGN-04</t>
  </si>
  <si>
    <t>AIGN-05</t>
  </si>
  <si>
    <t>AIPL-01</t>
  </si>
  <si>
    <t>AIPL-02</t>
  </si>
  <si>
    <t>AIPL-03</t>
  </si>
  <si>
    <t>AIPL-04</t>
  </si>
  <si>
    <t>AIPL-05</t>
  </si>
  <si>
    <t>AISC-01</t>
  </si>
  <si>
    <t>AISC-02</t>
  </si>
  <si>
    <t>AISC-03</t>
  </si>
  <si>
    <t>AISC-04</t>
  </si>
  <si>
    <t>AISC-05</t>
  </si>
  <si>
    <t>AIML-01</t>
  </si>
  <si>
    <t>AIML-02</t>
  </si>
  <si>
    <t>AIML-03</t>
  </si>
  <si>
    <t>AIML-04</t>
  </si>
  <si>
    <t>AIML-05</t>
  </si>
  <si>
    <t>AIML-06</t>
  </si>
  <si>
    <t>AIML-07</t>
  </si>
  <si>
    <t>AIML-08</t>
  </si>
  <si>
    <t>AILM-01</t>
  </si>
  <si>
    <t>AILM-02</t>
  </si>
  <si>
    <t>AILM-03</t>
  </si>
  <si>
    <t>AILM-04</t>
  </si>
  <si>
    <t>AILM-05</t>
  </si>
  <si>
    <t>AILM-06</t>
  </si>
  <si>
    <t xml:space="preserve">End of worksheet </t>
  </si>
  <si>
    <t>HECVAT Solution Provider Response - Privacy</t>
  </si>
  <si>
    <t>PRGN-01</t>
  </si>
  <si>
    <t>SmartPLS does not process FERPA-covered US education records; any research/institutional data a customer analyzes stays entirely on their own device.</t>
  </si>
  <si>
    <t>PRGN-02</t>
  </si>
  <si>
    <t>As an EU-based company, SmartPLS GmbH is subject to and processes data under the GDPR (e.g., license-holder contact information).</t>
  </si>
  <si>
    <t>PRGN-03</t>
  </si>
  <si>
    <t>PRGN-04</t>
  </si>
  <si>
    <t>SmartPLS only collects basic license-administration contact details (name, email, institution); it does not otherwise receive user-provided data containing regulated categories of information.</t>
  </si>
  <si>
    <t>PRGN-05</t>
  </si>
  <si>
    <t>https://smartpls.com/privacy</t>
  </si>
  <si>
    <t>PCOM-01</t>
  </si>
  <si>
    <t>PCOM-02</t>
  </si>
  <si>
    <t>SmartPLS GmbH collects the minimum personal data necessary to administer software licenses (name, email address, institution) and, optionally, anonymized usage/crash telemetry. No institutional research data is ever transmitted to or processed by SmartPLS, since SmartPLS Desktop runs entirely on the customer’s own device. All license and telemetry data is held on EU-based servers, and payment data is handled exclusively by our PCI DSS-compliant payment provider, Adyen.</t>
  </si>
  <si>
    <t>PCOM-03</t>
  </si>
  <si>
    <t>No violations of internal privacy policies or applicable privacy law in the past 36 months.</t>
  </si>
  <si>
    <t>PCOM-04</t>
  </si>
  <si>
    <t>PDOC-01</t>
  </si>
  <si>
    <t>SmartPLS GmbH has not completed a SOC 2 audit (see DOCU-03).</t>
  </si>
  <si>
    <t>PDOC-02</t>
  </si>
  <si>
    <t>SmartPLS GmbH operates in conformance with the EU General Data Protection Regulation (GDPR) as its governing privacy framework.</t>
  </si>
  <si>
    <t>PDOC-03</t>
  </si>
  <si>
    <t>PTHP-01</t>
  </si>
  <si>
    <t>Standard data processing agreements are in place with processors handling any personal data on our behalf (e.g., hosting and payment providers), requiring them to comply with applicable regulatory requirements.</t>
  </si>
  <si>
    <t>PTHP-02</t>
  </si>
  <si>
    <t>No formal, documented privacy impact assessments are performed on third parties; vendors are selected based on reputation and standard compliance posture (e.g., Adyen’s PCI DSS Level 1 certification).</t>
  </si>
  <si>
    <t>PCHG-01</t>
  </si>
  <si>
    <t>PCHG-02</t>
  </si>
  <si>
    <t>PDAT-01</t>
  </si>
  <si>
    <t>PDAT-02</t>
  </si>
  <si>
    <t>PDAT-03</t>
  </si>
  <si>
    <t>PDAT-04</t>
  </si>
  <si>
    <t>PDAT-05</t>
  </si>
  <si>
    <t>Standard server/connection logs (e.g., IP address) may be captured as part of license validation and, if enabled, crash/usage telemetry.</t>
  </si>
  <si>
    <t>PDAT-06</t>
  </si>
  <si>
    <t>The smartpls.com website may use standard cookies/analytics.</t>
  </si>
  <si>
    <t>PDAT-07</t>
  </si>
  <si>
    <t>Institutional research data processed within SmartPLS Desktop remains on the customer’s own device and is not accessible to SmartPLS staff or any third party.</t>
  </si>
  <si>
    <t>PDAT-08</t>
  </si>
  <si>
    <t>SmartPLS GmbH will handle personal data in a manner compliant with applicable law, regulation, and reasonable institutional policy.</t>
  </si>
  <si>
    <t>PRPO-01</t>
  </si>
  <si>
    <t>PRPO-02</t>
  </si>
  <si>
    <t>The product is designed to keep institutional/research data on the customer’s own device by default, minimizing personal data collected by SmartPLS GmbH.</t>
  </si>
  <si>
    <t>PRPO-03</t>
  </si>
  <si>
    <t>PRPO-04</t>
  </si>
  <si>
    <t>PRPO-05</t>
  </si>
  <si>
    <t>SmartPLS GmbH is subject to German/EU law and will contractually agree to comply with the institution’s applicable jurisdictional requirements as needed.</t>
  </si>
  <si>
    <t>PRPO-06</t>
  </si>
  <si>
    <t>PRPO-07</t>
  </si>
  <si>
    <t>PRPO-08</t>
  </si>
  <si>
    <t>PRPO-09</t>
  </si>
  <si>
    <t>PRPO-10</t>
  </si>
  <si>
    <t>PRPO-11</t>
  </si>
  <si>
    <t>PRPO-12</t>
  </si>
  <si>
    <t>PRPO-13</t>
  </si>
  <si>
    <t>INTL-01</t>
  </si>
  <si>
    <t>License and telemetry data are collected/processed/stored in Germany (EEA).</t>
  </si>
  <si>
    <t>INTL-02</t>
  </si>
  <si>
    <t>INTL-03</t>
  </si>
  <si>
    <t>SmartPLS GmbH is willing to sign GDPR Standard Contractual Clauses with an institution where required.</t>
  </si>
  <si>
    <t>INTL-04</t>
  </si>
  <si>
    <t>INTL-05</t>
  </si>
  <si>
    <t>DRPV-01</t>
  </si>
  <si>
    <t>DRPV-02</t>
  </si>
  <si>
    <t>An end-user privacy notice is published on smartpls.com describing what personal data is collected and why.</t>
  </si>
  <si>
    <t>DRPV-03</t>
  </si>
  <si>
    <t>The privacy notice and license-purchase process describe the choices available and the basis for collecting personal data.</t>
  </si>
  <si>
    <t>DRPV-04</t>
  </si>
  <si>
    <t>Personal data is collected only for license administration, support, and (optionally) product-improvement telemetry, consistent with the published privacy notice.</t>
  </si>
  <si>
    <t>DRPV-05</t>
  </si>
  <si>
    <t>DRPV-06</t>
  </si>
  <si>
    <t>Personal data is retained only as long as needed to administer licenses/support or as required by law.</t>
  </si>
  <si>
    <t>DRPV-07</t>
  </si>
  <si>
    <t>Individuals may contact SmartPLS GmbH to review, correct, or request deletion of their personal data (data subject rights under GDPR).</t>
  </si>
  <si>
    <t>DRPV-08</t>
  </si>
  <si>
    <t>Personal data is disclosed to third parties (e.g., our licensing, hosting, and payment providers) only as needed to deliver the service, consistent with the privacy notice.</t>
  </si>
  <si>
    <t>DRPV-09</t>
  </si>
  <si>
    <t>DRPV-10</t>
  </si>
  <si>
    <t>License-administration records are kept accurate and up to date based on customer-provided information.</t>
  </si>
  <si>
    <t>DRPV-11</t>
  </si>
  <si>
    <t>DRPV-12</t>
  </si>
  <si>
    <t>DRPV-13</t>
  </si>
  <si>
    <t>DRPV-14</t>
  </si>
  <si>
    <t>SmartPLS GmbH can request deletion of license-administration data from its processor (Nalpeiron) upon a valid stop-processing request.</t>
  </si>
  <si>
    <t>DRPV-15</t>
  </si>
  <si>
    <t>DPAI-01</t>
  </si>
  <si>
    <t>DPAI-02</t>
  </si>
  <si>
    <t>DPAI-03</t>
  </si>
  <si>
    <t>DPAI-04</t>
  </si>
  <si>
    <t>DPAI-05</t>
  </si>
  <si>
    <t>DPAI-06</t>
  </si>
  <si>
    <t>DPAI-07</t>
  </si>
  <si>
    <t>DPAI-08</t>
  </si>
  <si>
    <t xml:space="preserve">There are cells within this worksheet are auto populated from the previous worksheets and drop down lists. </t>
  </si>
  <si>
    <t>HECVAT™ Institution Evaluation</t>
  </si>
  <si>
    <t>Instructions for Analysts</t>
  </si>
  <si>
    <t>Date Prepared</t>
  </si>
  <si>
    <t>Cells A20 to A40 have intentionally been left blank.</t>
  </si>
  <si>
    <t>Report Sections</t>
  </si>
  <si>
    <t>Include in Score?</t>
  </si>
  <si>
    <t>Max Score</t>
  </si>
  <si>
    <t>Score</t>
  </si>
  <si>
    <t>Score %</t>
  </si>
  <si>
    <t>Jump to</t>
  </si>
  <si>
    <t>COMP</t>
  </si>
  <si>
    <t>DOCU</t>
  </si>
  <si>
    <t>THRD</t>
  </si>
  <si>
    <t>CHNG</t>
  </si>
  <si>
    <t>PPPR</t>
  </si>
  <si>
    <t>AAAI</t>
  </si>
  <si>
    <t>DATA</t>
  </si>
  <si>
    <t>APPL</t>
  </si>
  <si>
    <t>DCTR</t>
  </si>
  <si>
    <t>FIDP</t>
  </si>
  <si>
    <t>HFIH</t>
  </si>
  <si>
    <t>VULN</t>
  </si>
  <si>
    <t>CONS</t>
  </si>
  <si>
    <t>HIPA</t>
  </si>
  <si>
    <t>PCID</t>
  </si>
  <si>
    <t>OPEM</t>
  </si>
  <si>
    <t>ITAC</t>
  </si>
  <si>
    <t>AI (aggregated)</t>
  </si>
  <si>
    <t>Privacy (aggregated)</t>
  </si>
  <si>
    <t>Overall Score</t>
  </si>
  <si>
    <t xml:space="preserve"> </t>
  </si>
  <si>
    <t>HECVAT Analyst Report</t>
  </si>
  <si>
    <t>Institution Assessment</t>
  </si>
  <si>
    <t>Analysts: Use columns G and I to override the response compliance and importance level.</t>
  </si>
  <si>
    <t>ID</t>
  </si>
  <si>
    <t>Question</t>
  </si>
  <si>
    <t>(Will reflect across applicable tabs)</t>
  </si>
  <si>
    <t>Compliant Response</t>
  </si>
  <si>
    <t>Compliant Override</t>
  </si>
  <si>
    <t>Default Importance</t>
  </si>
  <si>
    <t>Importance Override</t>
  </si>
  <si>
    <t>Non-Negotiable?</t>
  </si>
  <si>
    <t>Back to Scorecard</t>
  </si>
  <si>
    <t>Not scored</t>
  </si>
  <si>
    <t>Mark as Compliant</t>
  </si>
  <si>
    <t xml:space="preserve">There are cells within this worksheet are auto populated from multiple worksheets in the workbook, and drop down lists. </t>
  </si>
  <si>
    <t>HECVAT Institution Evaluation - High Risk</t>
  </si>
  <si>
    <t>Instructions for High-Risk Scorecard</t>
  </si>
  <si>
    <t xml:space="preserve">4. For instructions on how to do a "HECVAT Lite" evaluation, please visit educause.edu/HECVAT. </t>
  </si>
  <si>
    <t xml:space="preserve">There are cells within this worksheet are auto populated from the HECVAT - Full | Vendor Response worksheet and drop down lists. </t>
  </si>
  <si>
    <t>Question Count</t>
  </si>
  <si>
    <t>Non-Negotiable</t>
  </si>
  <si>
    <t>Critical Importance/Lite Score</t>
  </si>
  <si>
    <t>Critical Importance Questions (Lite Review Questions)</t>
  </si>
  <si>
    <t>Non-Negotiable Questions</t>
  </si>
  <si>
    <t>Code</t>
  </si>
  <si>
    <t>HECVAT Institution Evaluation - Privacy</t>
  </si>
  <si>
    <t>PRGN</t>
  </si>
  <si>
    <t>PCOM</t>
  </si>
  <si>
    <t>PDOC</t>
  </si>
  <si>
    <t>PTHP</t>
  </si>
  <si>
    <t>PCHG</t>
  </si>
  <si>
    <t>PDAT</t>
  </si>
  <si>
    <t>PRPO</t>
  </si>
  <si>
    <t>INTL</t>
  </si>
  <si>
    <t>DRPV</t>
  </si>
  <si>
    <t>DPAI</t>
  </si>
  <si>
    <t>Privacy Score</t>
  </si>
  <si>
    <t>HECVAT Analyst Report - Privacy</t>
  </si>
  <si>
    <t>Vendor Answer</t>
  </si>
  <si>
    <t>PRIVACY REFERENCE QUESTIONS -these fields cannot be edited and must be changed on the "Institution Evaluation" tab.</t>
  </si>
  <si>
    <t xml:space="preserve">The cells within this worksheet contain questions, the reason for the question, and follow-up inquiries/responses </t>
  </si>
  <si>
    <t>HECVAT Analyst Reference</t>
  </si>
  <si>
    <t>Connect with your higher education peers by joining the EDUCAUSE HECVAT Users Community Group</t>
  </si>
  <si>
    <t>You can find full tutorials on the HECVAT at educause.edu/HECVAT</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</si>
  <si>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</si>
  <si>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</si>
  <si>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 xml:space="preserve">End Table Data </t>
  </si>
  <si>
    <t xml:space="preserve">Required Questions indicate to the solution provider which questions apply to their product or service. </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</si>
  <si>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</si>
  <si>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</si>
  <si>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</si>
  <si>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</si>
  <si>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</si>
  <si>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</si>
  <si>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</si>
  <si>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 xml:space="preserve">This worksheet is a combination of cells that are auto populated as well as ones to be filled in. </t>
  </si>
  <si>
    <t>New ID</t>
  </si>
  <si>
    <t>Start</t>
  </si>
  <si>
    <t>Org</t>
  </si>
  <si>
    <t>Product</t>
  </si>
  <si>
    <t>Infra</t>
  </si>
  <si>
    <t>Access</t>
  </si>
  <si>
    <t>Case</t>
  </si>
  <si>
    <t>AI</t>
  </si>
  <si>
    <t>Privacy</t>
  </si>
  <si>
    <t>Score Mapping</t>
  </si>
  <si>
    <t>Score Location</t>
  </si>
  <si>
    <t>Additional Info</t>
  </si>
  <si>
    <t>If/then</t>
  </si>
  <si>
    <t>Standard Guidance</t>
  </si>
  <si>
    <t>No Guidance</t>
  </si>
  <si>
    <t>Yes Guidance</t>
  </si>
  <si>
    <t>N/A Guidance</t>
  </si>
  <si>
    <t>Reason for Question</t>
  </si>
  <si>
    <t>Follow-Up Inquiries/Responses</t>
  </si>
  <si>
    <t>Compliant</t>
  </si>
  <si>
    <t>Default Weight</t>
  </si>
  <si>
    <t>Solution Provider Name</t>
  </si>
  <si>
    <t>NA</t>
  </si>
  <si>
    <t>Not Scored</t>
  </si>
  <si>
    <t>Solution Name</t>
  </si>
  <si>
    <t>0</t>
  </si>
  <si>
    <t>Solution Description</t>
  </si>
  <si>
    <t>Solution Provider Contact Name</t>
  </si>
  <si>
    <t>Solution Provider Contact Title</t>
  </si>
  <si>
    <t>Solution Provider Contact Email</t>
  </si>
  <si>
    <t>Solution Provider Contact Phone Number</t>
  </si>
  <si>
    <t>Country of Company Headquarters</t>
  </si>
  <si>
    <t>Employee Work Locations (all)</t>
  </si>
  <si>
    <t>Determines where solution provider employees will be physically located.</t>
  </si>
  <si>
    <t>Follow-up inquiries will be institution/implementation specific.</t>
  </si>
  <si>
    <t>Do you have a dedicated software and system development team(s) (e.g., customer support, implementation, product management, etc.)?*</t>
  </si>
  <si>
    <t>Start Here</t>
  </si>
  <si>
    <t>Describe any plans to create a dedicated software and system development team.</t>
  </si>
  <si>
    <t>Describe the structure and size of your software and system development teams. (e.g., customer support, implementation, product management, etc.).</t>
  </si>
  <si>
    <t>N/A is only an acceptable answer if you are not offering a product or platform.</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</si>
  <si>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</si>
  <si>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</si>
  <si>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Standard Importance</t>
  </si>
  <si>
    <t>Describe your organization’s business background and ownership structure, including all parent and subsidiary relationships.</t>
  </si>
  <si>
    <t>Include circumstances that may involve offshoring or multinational agreements.</t>
  </si>
  <si>
    <t>This information defines the scale of company (support, resources, skillsets), general information about the organization that may be concerning.</t>
  </si>
  <si>
    <t>Follow-up responses to this one are normally unique to their response. Vague answers here usually result in some footprinting of a solution provider to determine their "reputation."</t>
  </si>
  <si>
    <t>Have you operated without unplanned disruptions to this solution in the past 12 months?</t>
  </si>
  <si>
    <t>Provide a detailed summary of the unplanned disruption.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</si>
  <si>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</si>
  <si>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</si>
  <si>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Minor Importance</t>
  </si>
  <si>
    <t>Do you have a dedicated information security staff or office?</t>
  </si>
  <si>
    <t>Describe any plans to create an information security office for your organization.</t>
  </si>
  <si>
    <t>Describe your information security office, including size, talents, resources, etc.</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</si>
  <si>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</si>
  <si>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</si>
  <si>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Use this area to share information about your environment that will assist those who are assessing your company's data security program.</t>
  </si>
  <si>
    <t>Share any details that would help information security analysts assess your solution.</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</si>
  <si>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</si>
  <si>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</si>
  <si>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Are you offering a cloud-based product?</t>
  </si>
  <si>
    <t>If you are only offering a service, or are offering a product that is not cloud-based, answer "no".</t>
  </si>
  <si>
    <t>DO NOT complete the Product and Infrastructure worksheets</t>
  </si>
  <si>
    <t>DO complete the Product and Infrastructure worksheets</t>
  </si>
  <si>
    <t>Does your product or service have an interface?</t>
  </si>
  <si>
    <t>This includes any interface for end users and interfaces used by administrators at the institution.</t>
  </si>
  <si>
    <t>DO NOT complete the IT Accessibility worksheet.</t>
  </si>
  <si>
    <t>DO complete the IT Accessibility worksheet.</t>
  </si>
  <si>
    <t>Are you providing consulting services?</t>
  </si>
  <si>
    <t>DO NOT complete the Consulting section in the Case-Specific worksheet</t>
  </si>
  <si>
    <t>DO complete the Consulting section in the Case-Specific worksheet</t>
  </si>
  <si>
    <t>Does your solution have AI features, or are there plans to implement AI features in the next 12 months?</t>
  </si>
  <si>
    <t>DO NOT complete the Artificial Intelligence (AI) worksheet</t>
  </si>
  <si>
    <t>DO complete the Artificial Intelligence (AI) worksheet</t>
  </si>
  <si>
    <t>Does your solution process protected health information (PHI) or any data covered by the Health Insurance Portability and Accountability Act (HIPAA)?</t>
  </si>
  <si>
    <t>Answer "yes" if your solution handles personal health information (PHI), either directly or via a third party.</t>
  </si>
  <si>
    <t>DO NOT complete the HIPAA section in the Case-Specific worksheet</t>
  </si>
  <si>
    <t>DO complete the HIPAA section in the Case-Specific worksheet</t>
  </si>
  <si>
    <t>Is the solution designed to process, store, or transmit credit card information?</t>
  </si>
  <si>
    <t>Answer yes if your solution handles PCI (credit card) information, either directly or via a third party.</t>
  </si>
  <si>
    <t>DO NOT complete the PCI-DSS section in the Case-Specific worksheet</t>
  </si>
  <si>
    <t>DO complete the PCI-DSS section in the Case-Specific worksheet</t>
  </si>
  <si>
    <t>Does operating your solution require the institution to operate a physical or virtual appliance in their own environment or to provide inbound firewall exceptions to allow your employees to remotely administer systems in the institution's environment?</t>
  </si>
  <si>
    <t>DO NOT complete the On-Prem section in the Case-Specific worksheet</t>
  </si>
  <si>
    <t>DO complete the On-Prem section in the Case-Specific worksheet</t>
  </si>
  <si>
    <t>Does your solution have access to personal or institutional data?</t>
  </si>
  <si>
    <t>This includes patient data, student data, employment data, human research data, financial data, etc.</t>
  </si>
  <si>
    <t>DO NOT complete the Privacy tab</t>
  </si>
  <si>
    <t>DO complete the Privacy tab</t>
  </si>
  <si>
    <t>Do you have a well-documented business continuity plan (BCP), with a clear owner, that is tested annually?*</t>
  </si>
  <si>
    <t>Organization</t>
  </si>
  <si>
    <t>Testing a business continuity plan is an important action that improves the efficiency and accuracy of a solution provider's continuity plans. Vague responses to this question should be met with concern and appropriate follow-up, based on your institutions risk tolerance.</t>
  </si>
  <si>
    <t>Critical Importance</t>
  </si>
  <si>
    <t>Do you have a well-documented disaster recovery plan (DRP), with a clear owner, that is tested annually?*</t>
  </si>
  <si>
    <t>Testing a disaster recovery plan is an important action that improves the efficiency and accuracy of a solution provider's recovery plans. Vague responses to this question should be met with concern and appropriate follow-up, based on your institutions risk tolerance.</t>
  </si>
  <si>
    <t>Have you undergone a SSAE 18/SOC 2 audit?</t>
  </si>
  <si>
    <t>Describe any plans to undergo a SSAE 18 audit.</t>
  </si>
  <si>
    <t>Provide the date of assessment and include a SOC 2 Type 2 (preferred) or SOC 3 report. If you have a SOC 3 report, state how to obtain a copy. Indicate if your hosting provider was the subject of the audit.</t>
  </si>
  <si>
    <t>SSAE 18 and SOC2 audits are standard documentation, relevant to institutions requiring a solution provider to undergo SSAE 18 audits.</t>
  </si>
  <si>
    <t>Follow-up inquiries for SSAE 18 content will be institution/implementation specific.</t>
  </si>
  <si>
    <t>Do you conform with a specific industry standard security framework (e.g., NIST Cybersecurity Framework, CIS Controls, ISO 27001, etc.)?</t>
  </si>
  <si>
    <t>Describe any plans to conform to an industry standard security framework.</t>
  </si>
  <si>
    <t>Provide documentation on how your organization conforms to your chosen framework and indicate current certification levels, where appropriate.</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</si>
  <si>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</si>
  <si>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</si>
  <si>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</si>
  <si>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</si>
  <si>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</si>
  <si>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</si>
  <si>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</si>
  <si>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Does your organization have a data privacy policy?</t>
  </si>
  <si>
    <t>Describe your plans to create a data privacy policy.</t>
  </si>
  <si>
    <t>Provide your data privacy document (or a valid link to it) upon submission.</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</si>
  <si>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</si>
  <si>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</si>
  <si>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</si>
  <si>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</si>
  <si>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</si>
  <si>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</si>
  <si>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Solution Provider Accessibility Contact Name</t>
  </si>
  <si>
    <t>If REQU-02 is no, populate solution provider answer with cell b3 in Auto Responses worksheet</t>
  </si>
  <si>
    <t>Solution Provider Accessibility Contact Title</t>
  </si>
  <si>
    <t>Solution Provider Accessibility Contact Email</t>
  </si>
  <si>
    <t>Solution Provider Accessibility Contact Phone Number</t>
  </si>
  <si>
    <t>Web Link to Accessibility Statement or VPAT</t>
  </si>
  <si>
    <t>VPAT can also be added as an attachment</t>
  </si>
  <si>
    <t>Has a VPAT or ACR been created or updated for the solution and version under consideration within the past 12 months?*</t>
  </si>
  <si>
    <t>IT Accessibility</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</si>
  <si>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</si>
  <si>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Please state your plans (when and by whom) to complete a VPAT.</t>
  </si>
  <si>
    <t>State the date the VPAT was completed. Include this VPAT in your submission and/or link to its web location.</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</si>
  <si>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</si>
  <si>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Cross-reference Accessibility Conformance Reports (ACR) with any answers from ITAC-14 about product roadmaps for accessibility improvements.</t>
  </si>
  <si>
    <t>Will your company agree to meet your stated accessibility standard or WCAG 2.1 AA as part of your contractual agreement for the solution?*</t>
  </si>
  <si>
    <t xml:space="preserve">Federal regulation requires that technology products conform to WCAG 2.1 AA. Technology platforms that do not substantially conform to this standard put schools at risk of not complying with these requirements. </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</si>
  <si>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</si>
  <si>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</si>
  <si>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a documented and implemented process for reporting and tracking accessibility issues?*</t>
  </si>
  <si>
    <t xml:space="preserve">Reporting and fixing accessibility issues is critical to a mature process. If the process for this question is merely a "feature request" and tracker, the answer to this question should be "no." </t>
  </si>
  <si>
    <t>State how users should report accessibility issues. Describe any expected related process updates.</t>
  </si>
  <si>
    <t>Describe the process and any recent examples of fixes as a result of the process.</t>
  </si>
  <si>
    <t>What is the prioritization of accessibility issues received, and how are they tracked? Is there a regular cadence for tracking and addressing accessibility barriers?</t>
  </si>
  <si>
    <t>Do you have documentation to support the accessibility features of your solution?</t>
  </si>
  <si>
    <t>If specific configurations, settings, themes, author guides, or instructions are needed to ensure accessibility, are instructions on how to do so provided for administrators and end users?</t>
  </si>
  <si>
    <t>Provide plans for any documentation that would make accessible content, features, and functions easily knowable by end users.</t>
  </si>
  <si>
    <t>Provide examples with links where possible.</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</si>
  <si>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</si>
  <si>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If claims are made about accessibility and there is no supporting documentation on how they can be achieved, ensure that intended configurations and uses of the product in question were assessed for any accessibility documentation or claims.</t>
  </si>
  <si>
    <t>Has a third-party expert conducted an audit of the most recent version of your solution?</t>
  </si>
  <si>
    <t>Audit results, including VPAT/ACRs, are voluntary reports often generated by the creator of the product. Audits conducted and reports generated by expert third parties give greater confidence to customers.</t>
  </si>
  <si>
    <t>Please provide plans (when and by whom) of any planned audit, or a rationale if no third-party audit is planned.</t>
  </si>
  <si>
    <t>State when the audit was conducted and by whom. Include the results in your submission and/or link to its web location.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</si>
  <si>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</si>
  <si>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Do you have a documented and implemented process for verifying accessibility conformance?</t>
  </si>
  <si>
    <t>Summarize how you ensure accessible solutions. Provide plans to develop documented processes to validate accessibility.</t>
  </si>
  <si>
    <t>Describe your processes and methodologies for validating accessibility conformance.</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</si>
  <si>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</si>
  <si>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</si>
  <si>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</si>
  <si>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</si>
  <si>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Indicate which primary standards and all additional standards the solution meets.</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</si>
  <si>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</si>
  <si>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Can you provide a current, detailed accessibility roadmap with delivery timelines?</t>
  </si>
  <si>
    <t>A detailed accessibility roadmap should reference improvements and progress on known accessibility issues as appropriate but does not necessarily need to list unreleased product features.</t>
  </si>
  <si>
    <t>Please provide any plans to develop and share an accessibility roadmap in the future.</t>
  </si>
  <si>
    <t>Comment on how far into the future the roadmap extends. Provide evidence (including links) of having delivered upon the accessibility roadmap in the past.</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</si>
  <si>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</si>
  <si>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</si>
  <si>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Do you expect your staff to maintain a current skill set in IT accessibility?</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</si>
  <si>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</si>
  <si>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</si>
  <si>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</si>
  <si>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</si>
  <si>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Do you have documented processes and procedures for implementing accessibility into your development lifecycle?</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</si>
  <si>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</si>
  <si>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Describe any plans to update processes and procedures to better incorporate accessibility.</t>
  </si>
  <si>
    <t>Provide further details in Additional Information.</t>
  </si>
  <si>
    <t>This question is designed to understand how accessibility is included in new versions and features of solutions, particularly with solution providers that implement Agile or similar methodologies where software is updated frequently and continuously.</t>
  </si>
  <si>
    <t>Can all functions of the application or service be performed using only the keyboard?</t>
  </si>
  <si>
    <t>Indicate a plan to test the solution; develop a roadmap for keyboard accessibility or any further context.</t>
  </si>
  <si>
    <t>State when and on which platform this was verified.</t>
  </si>
  <si>
    <t>One critical accessibility requirement is the full use of a product using only the keyboard, -no mouse or trackpad. This requirement is easy for a nontechnical or non-accessibility expert to understand and verify.</t>
  </si>
  <si>
    <t>To confirm keyboard-only claims, follow the how-to at Minimum Expectations for applications webpage &lt;https://go.iu.edu/minimum-expectations&gt; from Indiana University or reference WebAIM’s Keyboard Testing guidance &lt;https://webaim.org/techniques/keyboard/#testing&gt;.</t>
  </si>
  <si>
    <t>Does your product rely on activating a special "accessibility mode," a "lite version," or using an alternate interface (including “overlay” or AI-based alternates)  for accessibility purposes?</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</si>
  <si>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</si>
  <si>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</si>
  <si>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</si>
  <si>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perform security assessments of third-party companies with which you share data (e.g., hosting providers, cloud services, PaaS, IaaS, SaaS)?*</t>
  </si>
  <si>
    <t>State your plans to perform security assessments of third-party companies.</t>
  </si>
  <si>
    <t>Provide a summary of your practices that assures that the third party will be subject to the appropriate standards regarding security, service recoverability, and confidentiality.</t>
  </si>
  <si>
    <t>Please explain why this does not apply to your organization, product or service.</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</si>
  <si>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</si>
  <si>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</si>
  <si>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Do you have contractual language in place with third parties governing access to institutional data?*</t>
  </si>
  <si>
    <t>List each third party and why institutional data is shared with them. Format example: [Third Party Name] - Reason</t>
  </si>
  <si>
    <t>The sharing of institutional data to fourth-parties may increase the risk to the institution and thus, we want to know who gets what data, when they get that data, and why they get that data.</t>
  </si>
  <si>
    <t>Follow-up inquiries concerning third-party data sharing will be institution/implementation specific.</t>
  </si>
  <si>
    <t>Do the contracts in place with these third parties address liability in the event of a data breach?*</t>
  </si>
  <si>
    <t>Knowing the protections and legal agreements in place for third-party data sharing may assist analysts in determining residual risk.</t>
  </si>
  <si>
    <t>Follow-up inquiries concerning legal agreements with third parties will be institution/implementation specific.</t>
  </si>
  <si>
    <t>Do you have an implemented third-party management strategy?*</t>
  </si>
  <si>
    <t>Robust answers from the solution provider improve the quality and efficiency of the security assessment process.</t>
  </si>
  <si>
    <t>State your plans to implement a third-party management strategy.</t>
  </si>
  <si>
    <t>Provide additional information that may help analysts better understand your environment and how it relates to third-party solutions.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</si>
  <si>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</si>
  <si>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</si>
  <si>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Do you have a process and implemented procedures for managing your hardware supply chain (e.g., telecommunications equipment, export licensing, computing devices)?</t>
  </si>
  <si>
    <t>Make sure you address any national or regional regulations.</t>
  </si>
  <si>
    <t>State your plans to create a process and implemented procedures for managing your hardware supply chain.</t>
  </si>
  <si>
    <t>State what countries and/or regions this process is compliant with.</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</si>
  <si>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</si>
  <si>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hardware supply chain will be institution/implementation specific.</t>
  </si>
  <si>
    <t>Will the consultant require access to the institution's network resources?*</t>
  </si>
  <si>
    <t>Case-Specific</t>
  </si>
  <si>
    <t>If REQU-03 is no, populate solution provider answer with b4 in Auto Responses tab</t>
  </si>
  <si>
    <t>Consultants are often used to implement, maintain, fix, and assess technology environments. In these cases, third-party consultants have access to institutional data, and appropriate access, whether remote or onsite, must be protected during the consulting engagement.</t>
  </si>
  <si>
    <t>Has the consultant received training on (sensitive, HIPAA, PCI, etc.) data handling?*</t>
  </si>
  <si>
    <t>Is the data encrypted (at rest) while in the consultant's possession?*</t>
  </si>
  <si>
    <t>Please explain why this does not apply to your product or service.</t>
  </si>
  <si>
    <t>Can access be restricted based on source IP address?*</t>
  </si>
  <si>
    <t>Will the consulting take place on-premises?</t>
  </si>
  <si>
    <t>Will the consultant require access to hardware in the institution's data centers?</t>
  </si>
  <si>
    <t>Will the consultant require an account within the institution's domain (@*.edu)?</t>
  </si>
  <si>
    <t>Will any data be transferred to the consultant's possession?</t>
  </si>
  <si>
    <t>Will the consultant need remote access to the institution's network or systems?</t>
  </si>
  <si>
    <t>Are access controls for institutional accounts based on structured rules, such as role-based access control (RBAC), attribute-based access control (ABAC), or policy-based access control (PBAC)?*</t>
  </si>
  <si>
    <t>Infrastructure</t>
  </si>
  <si>
    <t>If REQU-01 is no, populate solution provider answer with B2 in Auto Responses tab</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</si>
  <si>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</si>
  <si>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</si>
  <si>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</si>
  <si>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</si>
  <si>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Ask the solution provider to summarize the best practices to restrict/control the access given to the institution's end users without the use of RBAC. Make sure to understand the administrative requirements/overhead introduced in the solution provider's environment.</t>
  </si>
  <si>
    <t>Are you using a web application firewall (WAF)?*</t>
  </si>
  <si>
    <t>Describe compensating controls that protect your web application, if applicable.</t>
  </si>
  <si>
    <t>Describe the currently implemented WAF.</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</si>
  <si>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</si>
  <si>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</si>
  <si>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Are only currently supported operating system(s), software, and libraries leveraged by the system(s)/application(s) that will have access to institution's data?*</t>
  </si>
  <si>
    <t>If the web application only works with a subset of modern supported browsers, please indicate that here.</t>
  </si>
  <si>
    <t>State your plan to migrate to supported operating systems, libraries, and software.</t>
  </si>
  <si>
    <t>Please provide a list of all required dependencies.</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</si>
  <si>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</si>
  <si>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Follow-up inquiries for operating systems leveraged by the solution provider will be institution/implementation specific.</t>
  </si>
  <si>
    <t>Does your application require access to location or GPS data?*</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</si>
  <si>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</si>
  <si>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</si>
  <si>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</si>
  <si>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Ask the solution provider about the need for this requirement, and understand any mitigation strategies that may be possible.</t>
  </si>
  <si>
    <t>Does your application provide separation of duties between security administration, system administration, and standard user functions?*</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</si>
  <si>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</si>
  <si>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</si>
  <si>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</si>
  <si>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</si>
  <si>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Do you subject your code to static code analysis and/or static application security testing prior to release?*</t>
  </si>
  <si>
    <t>State your plans to implement static code testing practices into your environment.</t>
  </si>
  <si>
    <t>Provide a list of all tools utilized during static code analysis or static application security testing.</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</si>
  <si>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</si>
  <si>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</si>
  <si>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Do you have software testing processes (dynamic or static) that are established and followed?*</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</si>
  <si>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</si>
  <si>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</si>
  <si>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</si>
  <si>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</si>
  <si>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</si>
  <si>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</si>
  <si>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</si>
  <si>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</si>
  <si>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</si>
  <si>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</si>
  <si>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</si>
  <si>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</si>
  <si>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</si>
  <si>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Inquire about any planned improvements to these capabilities. Ask about their product roadmap, and try to understand how they prioritize security concerns in their environment.</t>
  </si>
  <si>
    <t>Do you have a process and implemented procedures for managing your software supply chain (e.g., libraries, repositories, frameworks, etc.)?</t>
  </si>
  <si>
    <t>Include any in-house developed or contract development.</t>
  </si>
  <si>
    <t>Provide supporting documentation of your processes.</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</si>
  <si>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</si>
  <si>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Follow-up inquiries concerning software supply chain will be institution/implementation specific.</t>
  </si>
  <si>
    <t>Have your developers been trained in secure coding techniques?</t>
  </si>
  <si>
    <t>State plans to implement a training program on industry standard secure coding practices.</t>
  </si>
  <si>
    <t>Summarize your secure coding training.</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</si>
  <si>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</si>
  <si>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</si>
  <si>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Was your application developed using secure coding techniques?</t>
  </si>
  <si>
    <t>State plans to update your application to adhere to industry secure coding practices.</t>
  </si>
  <si>
    <t>Summarize your secure coding practices.</t>
  </si>
  <si>
    <t>If mobile, is the application available from a trusted source (e.g., App Store, Google Play Store)?</t>
  </si>
  <si>
    <t>Select N/A if there is no mobile version of your app.</t>
  </si>
  <si>
    <t>Describe how the application is distributed. Also, state any plans to publish the app to a trusted source.</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</si>
  <si>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</si>
  <si>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</si>
  <si>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Ask the solution provider why this deployment strategy is used. Ask if it is a restriction of the app store platform or some other environment restriction.</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</si>
  <si>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</si>
  <si>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</si>
  <si>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</si>
  <si>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t>
  </si>
  <si>
    <t>Ask the solution provider to summarize their implemented policies and/or procedures</t>
  </si>
  <si>
    <t>Does your solution support single sign-on (SSO) protocols for user and administrator authentication?*</t>
  </si>
  <si>
    <t>Answer "yes" only if user AND administrator authentication is supported. If partially supported, answer "no." Ensure you respond to any guidance in the Additional Information column.</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</si>
  <si>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</si>
  <si>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</si>
  <si>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</si>
  <si>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</si>
  <si>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For customers not using SSO, does your solution support local authentication protocols for user and administrator authentication?*</t>
  </si>
  <si>
    <t>Describe any plans to support local authentication modes.</t>
  </si>
  <si>
    <t>Provide a detailed description of your local authentication mode practices.</t>
  </si>
  <si>
    <t xml:space="preserve">N/A is only an acceptable answer if SSO is the only way users are able to log into your product. </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</si>
  <si>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</si>
  <si>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The content of this response may or may not have value for the type of use case on the institution. Follow-up inquiries for authentication modes will be institution/implementation specific.</t>
  </si>
  <si>
    <t>For customers not using SSO, can you enforce password/passphrase complexity requirements (provided by the institution)?*</t>
  </si>
  <si>
    <t>Describe plans to support password/passphrase complexity requirements.</t>
  </si>
  <si>
    <t>Describe how password/passphrase complexity requirements are implemented in the product.</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</si>
  <si>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</si>
  <si>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Follow-up inquiries for password/passphrase complexity requirements will be institution/implementation specific.</t>
  </si>
  <si>
    <t>For customers not using SSO, does the system have password complexity or length limitations and/or restrictions?*</t>
  </si>
  <si>
    <t>Answer "yes" if your solution has internal limits to password complexity (max length, certain special characters unsupported, etc.).</t>
  </si>
  <si>
    <t>Describe these limitations and/or restrictions and state what lengths and complexities are supported.</t>
  </si>
  <si>
    <t>Follow-up inquiries for password/passphrase limitations and/or restrictions will be institution/implementation specific.</t>
  </si>
  <si>
    <t>For customers not using SSO, do you have documented password/passphrase reset procedures that are currently implemented in the system and/or customer support?*</t>
  </si>
  <si>
    <t>Describe your plans to document system password/passphrase reset procedures.</t>
  </si>
  <si>
    <t>Describe your documented password/passphrase reset procedures that are currently implemented in the system and/or customer support.</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</si>
  <si>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</si>
  <si>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Ask the solution provider how end users will be supported. Ask for training documentation or knowledgebase content. Confirm solution provider and institution responsibilities in this support area (and others).</t>
  </si>
  <si>
    <t>Does your organization participate in InCommon or another eduGAIN-affiliated trust federation?*</t>
  </si>
  <si>
    <t>Describe plans to participate in InCommon or another eduGAIN-affiliated trust federation.</t>
  </si>
  <si>
    <t>List the entity IDs registered in the Additional Information column.</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</si>
  <si>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</si>
  <si>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</si>
  <si>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Are there any passwords/passphrases hard-coded into your systems or solutions?*</t>
  </si>
  <si>
    <t>Provide a detailed description of passwords/passphrases hard-coded into your systems or solutions.</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</si>
  <si>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</si>
  <si>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</si>
  <si>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Are you storing any passwords in plaintext?*</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</si>
  <si>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</si>
  <si>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</si>
  <si>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</si>
  <si>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Are audit logs available that include AT LEAST all of the following: login, logout, actions performed, and source IP address?*</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</si>
  <si>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</si>
  <si>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</si>
  <si>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If a weak response is given, it is appropriate to ask directed questions to get specific information. Ensure that questions are targeted to ensure responses will come from the appropriate party within the solution provider.</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</si>
  <si>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</si>
  <si>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Ensure that all elements of AAAI-10 are clearly stated in your response.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</si>
  <si>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</si>
  <si>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Can you provide the institution documentation regarding the retention period for those logs, how logs are protected, and whether they are accessible to the customer (and if so, how)?*</t>
  </si>
  <si>
    <t>Ensure that all elements of AAAI-11 are clearly stated in your response.</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</si>
  <si>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</si>
  <si>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Follow-up inquiries for logging details will be institution/implementation specific.</t>
  </si>
  <si>
    <t>For customers not using SSO, does your application support integration with other authentication and authorization systems?</t>
  </si>
  <si>
    <t>Describe any plans to support integration with other authentication and authorization systems.</t>
  </si>
  <si>
    <t>List which systems and versions supported (such as Active Directory, Kerberos, or other LDAP compatible directory) in Additional Info.</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</si>
  <si>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</si>
  <si>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If a solution provider indicates that a system is stand-alone and cannot integrate with the institution's infrastructure, follow up with maturity questions and ask about other commodity type functions or other system requirements your institution may have.</t>
  </si>
  <si>
    <t>Do you allow the customer to specify attribute mappings for any needed information beyond a user identifier? (e.g., Reference eduPerson, ePPA/ePPN/ePE)</t>
  </si>
  <si>
    <t>Describe plans to allow customers to specify attribute mappings.</t>
  </si>
  <si>
    <t>This questions allows an institution to know solution provider system limitations and to help them gauge the resources (that may be needed to implement) required to successfully integrate the solution with institution systems.</t>
  </si>
  <si>
    <t>Follow-up inquiries for attribute mapping requirements will be institution/implementation specific.</t>
  </si>
  <si>
    <t>For customers not using SSO, does your application support directory integration for user accounts?</t>
  </si>
  <si>
    <t>Describe any plans to support external authentication services in place of local authentication.</t>
  </si>
  <si>
    <t>Describe all authentication services supported by the system.</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</si>
  <si>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</si>
  <si>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</si>
  <si>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</si>
  <si>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</si>
  <si>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plans to support web SSO in your solution.</t>
  </si>
  <si>
    <t>State the web SSO standards supported by your solution and provide additional details about your support, including framework(s) in use, how information is exchanged securely, etc.</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</si>
  <si>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</si>
  <si>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</si>
  <si>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</si>
  <si>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For customers not using SSO, does your application and/or user frontend/portal support multifactor authentication (e.g., Duo, Google Authenticator, OTP, etc.)?</t>
  </si>
  <si>
    <t>Describe any plans to support multifactor authentication in your application.</t>
  </si>
  <si>
    <t>List all supported multifactor authentication methods, technologies, and/or solutions and provide a brief summary of each.</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</si>
  <si>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</si>
  <si>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Ask the solution provider about hardware and software options, future roadmap for implementations and support, etc.</t>
  </si>
  <si>
    <t>Does your application automatically lock the session or log out an account after a period of inactivity?</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</si>
  <si>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</si>
  <si>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</si>
  <si>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</si>
  <si>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</si>
  <si>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Will the institution be notified of major changes to your environment that could impact the institution's security posture?*</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</si>
  <si>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</si>
  <si>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</si>
  <si>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</si>
  <si>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If the solution provider's response does not cover the details outlined in the reasoning, follow up and get specific responses for each, as needed.</t>
  </si>
  <si>
    <t>Does the system support client customizations from one release to another?*</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</si>
  <si>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</si>
  <si>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</si>
  <si>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</si>
  <si>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</si>
  <si>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</si>
  <si>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Do you have an implemented system configuration management process (e.g., secure "gold" images, etc.)?*</t>
  </si>
  <si>
    <t>Describe how system configuration management is currently handled in your environment.</t>
  </si>
  <si>
    <t>Summarize your implemented system configuration management process.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</si>
  <si>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</si>
  <si>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</si>
  <si>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</si>
  <si>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</si>
  <si>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</si>
  <si>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</si>
  <si>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</si>
  <si>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</si>
  <si>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</si>
  <si>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This question outlines a mature change management process. Changes should be analyzed for impact, officially approved, tested, and performed by authorized users.</t>
  </si>
  <si>
    <t>If the solution provider's response does not cover the details outlined in the reasoning, follow up and get specific responses, as needed.</t>
  </si>
  <si>
    <t>Does your change management process verify that all required third-party libraries and dependencies are still supported with each major change?</t>
  </si>
  <si>
    <t>Please describe any plans to implement third-party library dependency tracking.</t>
  </si>
  <si>
    <t>Please describe your program to track these dependencies.</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</si>
  <si>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</si>
  <si>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</si>
  <si>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</si>
  <si>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</si>
  <si>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</si>
  <si>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</si>
  <si>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</si>
  <si>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Have you implemented policies and procedures that guide how security risks are mitigated until patches can be applied?</t>
  </si>
  <si>
    <t>State your plans to implement policy and procedure(s) guiding risk mitigation practices before critical patches can be applied.</t>
  </si>
  <si>
    <t>Summarize the policy and procedure(s) guiding risk mitigation practices before critical patches can be applied.</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</si>
  <si>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</si>
  <si>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</si>
  <si>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Do clients have the option to not participate in or postpone an upgrade to a new release?</t>
  </si>
  <si>
    <t>Summarize why clients do not have alternative release options.</t>
  </si>
  <si>
    <t>Provide reference the  process/procedure to manage releases.</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</si>
  <si>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</si>
  <si>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Follow-up inquiries for solution version releases will be institution/implementation specific.</t>
  </si>
  <si>
    <t>Do you have a fully implemented solution support strategy that defines how many concurrent versions you support?</t>
  </si>
  <si>
    <t>List the current version you support and what percentage of customers are utilizing that version.</t>
  </si>
  <si>
    <t>Clarify the lack of support strategy for concurrent versions in your solution.</t>
  </si>
  <si>
    <t>Describe or provide a reference to your solution support strategy in regard to maintaining software currency (i.e., how many concurrent versions are you willing to run and support?).</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</si>
  <si>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</si>
  <si>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</si>
  <si>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Do you have a release schedule for product updates?</t>
  </si>
  <si>
    <t>State any plans to release a schedule of product updates.</t>
  </si>
  <si>
    <t>Provide a reference to this solution's release schedule.</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</si>
  <si>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</si>
  <si>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</si>
  <si>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Do you have a technology roadmap, for at least the next two years, for enhancements and bug fixes for the solution being assessed?</t>
  </si>
  <si>
    <t>State any plans to release a technology roadmap covering the next two years.</t>
  </si>
  <si>
    <t>Provide a reference to your technology roadmap.</t>
  </si>
  <si>
    <t>Answers to this question will reveal the solution provider’s ability to plan for the future of their solution.</t>
  </si>
  <si>
    <t>Follow-up inquiries for the solution provider’s technology planning practices will be institution/implementation specific.</t>
  </si>
  <si>
    <t>Can solution updates be completed without institutional involvement (i.e., technically or organizationally)?</t>
  </si>
  <si>
    <t>Summarize the institution's responsibilities during solution updates.</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</si>
  <si>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</si>
  <si>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Vague responses to this question should be investigated further. Ask for additional documentation for customer responsibilities (in the context of information technology/security).</t>
  </si>
  <si>
    <t>Are upgrades or system changes installed during off-peak hours or in a manner that does not impact the customer?</t>
  </si>
  <si>
    <t>Describe plans to minimize the impact of downtime based on predefined off-peak hours.</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</si>
  <si>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</si>
  <si>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</si>
  <si>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</si>
  <si>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</si>
  <si>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</si>
  <si>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In the context of the CIA triad, this question is focused on system integrity, ensuring that system changes are only executed by authorized users. In the event of emergency changes, accountability and post-action review are expected.</t>
  </si>
  <si>
    <t>Follow up with a robust question set if a solution provider cannot clearly state full control of the integrity of their system(s).</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</si>
  <si>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</si>
  <si>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</si>
  <si>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</si>
  <si>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Will the institution's data be stored on any devices (database servers, file servers, SAN, NAS, etc.) configured with non-RFC 1918/4193 (i.e., publicly routable) IP addresses?*</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</si>
  <si>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</si>
  <si>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</si>
  <si>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Ask the solution provider about its infrastructure and if there is a solution that eliminates the need for this environment.</t>
  </si>
  <si>
    <t>Is the transport of sensitive data encrypted using security protocols/algorithms (e.g., system-to-client)?*</t>
  </si>
  <si>
    <t>Describe why sensitive data is not encrypted in transport.</t>
  </si>
  <si>
    <t>Summarize your transport encryption strategy.</t>
  </si>
  <si>
    <t>The need for encryption in transport is unique to your institution's implementation of a system. In particular, the data flow between the system and the end users of the solution.</t>
  </si>
  <si>
    <t>Follow-up inquiries for data encryption between the system and end-users will be institution/implementation specific.</t>
  </si>
  <si>
    <t>Is the storage of sensitive data encrypted using security protocols/algorithms (e.g., disk encryption, at-rest, files, and within a running database)?*</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</si>
  <si>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</si>
  <si>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</si>
  <si>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</si>
  <si>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</si>
  <si>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Do all cryptographic modules in use in your solution conform to the Federal Information Processing Standards (FIPS PUB 140-2 or 140-3)?*</t>
  </si>
  <si>
    <t>Provide a detailed description of all non-conforming modules.</t>
  </si>
  <si>
    <t>Provide reference to FIPS 140-3 validation certificates.</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</si>
  <si>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</si>
  <si>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</si>
  <si>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Will the institution's data be available within the system for a period of time at the completion of this contract?*</t>
  </si>
  <si>
    <t>Describe your data export procedures conducted at the termination of contract.</t>
  </si>
  <si>
    <t>State the length of time that the institution's data will be available in the system at the completion of the contract.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</si>
  <si>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</si>
  <si>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</si>
  <si>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Are ownership rights to all data, inputs, outputs, and metadata retained even through a provider acquisition or bankruptcy event?*</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</si>
  <si>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</si>
  <si>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</si>
  <si>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</si>
  <si>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If a solution provider's response is unsatisfactory, engage institutional counsel to appropriately address any ownership concerns.</t>
  </si>
  <si>
    <t>Do backups containing the institution's data ever leave the institution's data zone either physically or via network routing?*</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</si>
  <si>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</si>
  <si>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</si>
  <si>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</si>
  <si>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Is media used for long-term retention of business data and archival purposes stored in a secure, environmentally protected area?*</t>
  </si>
  <si>
    <t>State plans to store long-term media in environmentally protected areas.</t>
  </si>
  <si>
    <t>Provide a general summary of your archival environment.</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</si>
  <si>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</si>
  <si>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</si>
  <si>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At the completion of this contract, will data be returned to the institution and/or deleted from all your systems and archives?</t>
  </si>
  <si>
    <t xml:space="preserve">Please specify if it will be returned, deleted, or both. </t>
  </si>
  <si>
    <t>State plans to implement capabilities for the institution to retrieve its data.</t>
  </si>
  <si>
    <t>When cancelling a solution, an institution will commonly want all institutional data that was provided to a solution provider. This question allows the solution provider to state its general practices when a customer leaves its environment.</t>
  </si>
  <si>
    <t>Can the institution extract a full or partial backup of data?</t>
  </si>
  <si>
    <t>State plans to implement capabilities for the institution to extract a full or partial backup of data.</t>
  </si>
  <si>
    <t>Provide a general summary of how full and partial backups of data can be extracted.</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</si>
  <si>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</si>
  <si>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Do current backups include all operating system software, utilities, security software, application software, and data files necessary for recovery?</t>
  </si>
  <si>
    <t>State plans to include the elements listed in DATA-13 in your backup strategy.</t>
  </si>
  <si>
    <t>Describe your overall strategy to accomplish these elements.</t>
  </si>
  <si>
    <t>The purpose of this question is to define the scope of backup operations and the scope at which a solution provider may readily recover when backup restoration is required.</t>
  </si>
  <si>
    <t>Follow-up inquiries for backup content scope will be institution/implementation specific.</t>
  </si>
  <si>
    <t>Are you performing off-site backups (i.e., digitally moved off site)?</t>
  </si>
  <si>
    <t>State any plans to implement off-site virtual backups in your environment.</t>
  </si>
  <si>
    <t>Summarize your off-site backup strategy.</t>
  </si>
  <si>
    <t>When data is moved digitally (e.g., cloud provider, solution provider-owned facility, etc.) off-site, the policies and implemented procedures are important to know. The protections implemented to prevent compromise will be technical in nature and should be well-documented.</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</si>
  <si>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</si>
  <si>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</si>
  <si>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</si>
  <si>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</si>
  <si>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When data is moved physically (e.g., print, etc.) off-site, the policies and implemented procedures are important to know. Unencrypted data taken outside secured areas introduces unnecessary risks.</t>
  </si>
  <si>
    <t>Follow-up inquiries for off-site, physical backups will be institution/implementation specific.</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</si>
  <si>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</si>
  <si>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</si>
  <si>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</si>
  <si>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</si>
  <si>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</si>
  <si>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Do you have a media handling process that is documented and currently implemented that meets established business needs and regulatory requirements, including end-of-life, repurposing, and data-sanitization procedures?</t>
  </si>
  <si>
    <t>Provide a detailed summary of media handling processes that do exist.</t>
  </si>
  <si>
    <t>Provide documented details of this process (link or attached).</t>
  </si>
  <si>
    <t>Does the process described in DATA-15 adhere to DoD 5220.22-M and/or NIST SP 800-88 standards?</t>
  </si>
  <si>
    <t>State plans to adhere to DoD 5220.22-M and/or NIST SP 800-88 standards.</t>
  </si>
  <si>
    <t>Follow-up inquiries for DoD 5220.22-M and/or SP800-88 standards will be institution specific.</t>
  </si>
  <si>
    <t>Does your staff (or third party) have access to institutional data (e.g., financial, PHI, or other sensitive information) through any means?</t>
  </si>
  <si>
    <t>Summarize what access staff (or third parties) have to institutional data.</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</si>
  <si>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</si>
  <si>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</si>
  <si>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</si>
  <si>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</si>
  <si>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</si>
  <si>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Vague responses to this question should be investigated further. Ask for additional documentation and verify that procedure (and possibly training) exists to ensure proper customer data handling activity.</t>
  </si>
  <si>
    <t>Does the environment provide for dedicated single-tenant capabilities? If not, describe how your solution or environment separates data from different customers (e.g., logically, physically, single tenancy, multi-tenancy).</t>
  </si>
  <si>
    <t>Describe your plan to separate institution data from that of other customers.</t>
  </si>
  <si>
    <t>Describe or provide a reference to how institution data is separated from that of other customers.</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</si>
  <si>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</si>
  <si>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Follow-up inquiries for dedicated single-tenant capabilities will be institution/implementation specific.</t>
  </si>
  <si>
    <t>Are ownership rights to all data, inputs, outputs, and metadata retained by the institution?</t>
  </si>
  <si>
    <t>Describe in detail why ownership rights are not retained by the institution.</t>
  </si>
  <si>
    <t>Provide reference to your data ownership documentation.</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</si>
  <si>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</si>
  <si>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</si>
  <si>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</si>
  <si>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</si>
  <si>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</si>
  <si>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</si>
  <si>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</si>
  <si>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</si>
  <si>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</si>
  <si>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An institution's use case will drive the requirements for backup strategy. Ensure that the institution's use case and risk tolerance can be met by solution provider systems.</t>
  </si>
  <si>
    <t>Do you have a cryptographic key management process (generation, exchange, storage, safeguards, use, vetting, and replacement) that is documented and currently implemented, for all system components (e.g., database, system, web, etc.)?</t>
  </si>
  <si>
    <t>Summarize your cryptographic key management process.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</si>
  <si>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</si>
  <si>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</si>
  <si>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Select your hosting option.</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</si>
  <si>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</si>
  <si>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</si>
  <si>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</si>
  <si>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</si>
  <si>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Is a SOC 2 Type 2 report available for the hosting environment?</t>
  </si>
  <si>
    <t>Obtain the report if possible and add it to your submission.</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</si>
  <si>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</si>
  <si>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</si>
  <si>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Are you generally able to accommodate storing each institution's data within its geographic region?</t>
  </si>
  <si>
    <t>Please indicate which geographic regions you can provide storage in the Additional Info column.</t>
  </si>
  <si>
    <t>Under what circumstances would institutional data leave a designated region or regions?</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</si>
  <si>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</si>
  <si>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</si>
  <si>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Are the data centers staffed 24 hours a day, seven days a week (i.e., 24 x 7 x 365)?</t>
  </si>
  <si>
    <t>State any plans to staff data centers 24 x 7 x 365.</t>
  </si>
  <si>
    <t>Describe the on-site staff capabilities.</t>
  </si>
  <si>
    <t>Solution Providers that operate their own datacenter(s) can implement their own monitoring strategy. Use the solution provider's response to this questions to verify/validate other responses related to ownership/co-location/physical security.</t>
  </si>
  <si>
    <t>Follow-up inquiries for data center staffing will be institution/implementation specific.</t>
  </si>
  <si>
    <t>Are your servers separated from other companies via a physical barrier, such as a cage or hard walls?</t>
  </si>
  <si>
    <t>State plans to separate your servers from others via a physical barrier.</t>
  </si>
  <si>
    <t>Describe your physical barrier strategy.</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</si>
  <si>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</si>
  <si>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system physical security will be institution/implementation specific.</t>
  </si>
  <si>
    <t>Does a physical barrier fully enclose the physical space, preventing unauthorized physical contact with any of your devices?*</t>
  </si>
  <si>
    <t>State plans to implement a physical barrier to prevent physical contact with any of your devices.</t>
  </si>
  <si>
    <t>Are your primary and secondary data centers geographically diverse?</t>
  </si>
  <si>
    <t>Describe any plans to implement.</t>
  </si>
  <si>
    <t>State your primary and secondary data center locations. For cloud infrastructures, state the primary and secondary zones.</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</si>
  <si>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</si>
  <si>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Follow-up inquiries for geographic diversity in datacenters will be institution/implementation specific.</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</si>
  <si>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</si>
  <si>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</si>
  <si>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</si>
  <si>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</si>
  <si>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The weight placed on the solution provider's response will be specific to the institution's use case and solution requirements.</t>
  </si>
  <si>
    <t>Is redundant power available for all data centers where institutional data will reside?</t>
  </si>
  <si>
    <t>Describe any plans to implement a redundant power environment for your systems.</t>
  </si>
  <si>
    <t>Provide a detailed description of the implemented strategy (i.e., batteries, generator).</t>
  </si>
  <si>
    <t>Are redundant power strategies tested?*</t>
  </si>
  <si>
    <t>State plans to implement redundant power testing for your systems.</t>
  </si>
  <si>
    <t>State how often redundant power strategies are tested and the date of the last successful test.</t>
  </si>
  <si>
    <t>Installing (potential) redundant power and regularly testing strategies to ensure they will work when needed are very different. Vague responses to this question should be met with concern and appropriate follow up, based on your institution's risk tolerance.</t>
  </si>
  <si>
    <t>Follow-up inquiries for redundant power testing details will be institution/implementation specific.</t>
  </si>
  <si>
    <t>Does the center where the data will reside have cooling and fire-suppression systems that are active and regularly tested?</t>
  </si>
  <si>
    <t>Installing appropriate environmental controls is crucial to maintaining the integrity of the hosting site. Vague responses to this question should be met with concern and appropriate follow up, based on your institutions risk tolerance.</t>
  </si>
  <si>
    <t>Follow-up inquiries for cooling and fire suppression systems will be institution/implementation specific.</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</si>
  <si>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</si>
  <si>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</si>
  <si>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</si>
  <si>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</si>
  <si>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</si>
  <si>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</si>
  <si>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Do you require multifactor authentication for all administrative accounts in your environment?</t>
  </si>
  <si>
    <t>Describe plans to implement MFA.</t>
  </si>
  <si>
    <t>State which model of MFA you are using.</t>
  </si>
  <si>
    <t>2FA/MFA, implemented correctly, strengthens the security state of a system. 2FA/MFA is commonly implemented and in many use cases is a requirement for account protection purposes.</t>
  </si>
  <si>
    <t>Are you using your cloud provider's available hardening tools or pre-hardened images?</t>
  </si>
  <si>
    <t>Describe how you alternately harden your images.</t>
  </si>
  <si>
    <t>In the context of the CIA triad, this question is focused on the integrity of a system (or set of systems).</t>
  </si>
  <si>
    <t>Ask the solution provider about their system lifecycle practices and security methodology.</t>
  </si>
  <si>
    <t>Does your cloud solution provider have access to your encryption keys?</t>
  </si>
  <si>
    <t>Describe your key management practices.</t>
  </si>
  <si>
    <t>Are you utilizing a stateful packet inspection (SPI) firewall?*</t>
  </si>
  <si>
    <t>Describe any plans to implement a SPI firewall.</t>
  </si>
  <si>
    <t>Describe the currently implemented SPI firewall.</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</si>
  <si>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</si>
  <si>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</si>
  <si>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Do you have a documented policy for firewall change requests?*</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</si>
  <si>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</si>
  <si>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</si>
  <si>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</si>
  <si>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</si>
  <si>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Have you implemented an intrusion detection system (network-based)?*</t>
  </si>
  <si>
    <t>Describe your plan to implement an intrusion detection system in your environment.</t>
  </si>
  <si>
    <t>Describe the currently implemented IDS.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</si>
  <si>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</si>
  <si>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</si>
  <si>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Do you employ host-based intrusion detection?*</t>
  </si>
  <si>
    <t>Describe your plan to implement host-based intrusion detection system capabilities in your environment.</t>
  </si>
  <si>
    <t>Describe the currently implemented host-based IDS solution(s).</t>
  </si>
  <si>
    <t>Ask the solution provider to summarize why host-based intrusion detection tools are not implemented in their environment. What compensating controls are in place to detect configuration changes and/or failures of integrity?</t>
  </si>
  <si>
    <t>Are audit logs available for all changes to the network, firewall, IDS, and IPS systems?*</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</si>
  <si>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</si>
  <si>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</si>
  <si>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</si>
  <si>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</si>
  <si>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Is authority for firewall change approval documented? Please list approver names or titles in Additional Info.</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</si>
  <si>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</si>
  <si>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</si>
  <si>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</si>
  <si>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</si>
  <si>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Have you implemented an intrusion prevention system (network-based)?</t>
  </si>
  <si>
    <t>Describe your plan to implement an intrusion prevention system in your environment.</t>
  </si>
  <si>
    <t>Describe the currently implemented IPS.</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</si>
  <si>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</si>
  <si>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 security program with limited resources for active prevention is inefficient. Inquiries should include training for staff, reasoning behind not using IPS technologies, and how systems are actively protected and how malicious activity is stopped.</t>
  </si>
  <si>
    <t>Do you employ host-based intrusion prevention?</t>
  </si>
  <si>
    <t>Describe your plan to implement host-based intrusion prevention system capabilities in your environment.</t>
  </si>
  <si>
    <t>Describe the currently implemented host-based IPS solution(s).</t>
  </si>
  <si>
    <t>Ask the solution provider to summarize why host-based intrusion prevention tools are not implemented in their environment. What compensating controls are in place to detect malicious activity and to actively prevent its function?</t>
  </si>
  <si>
    <t>Are you employing any next-generation persistent threat (NGPT) monitoring?</t>
  </si>
  <si>
    <t>Describe your intent to implement NGPT monitoring.</t>
  </si>
  <si>
    <t>Describe your NGPT monitoring strategy.</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</si>
  <si>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</si>
  <si>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Follow-up inquiries for next-generation persistent threat monitoring will be institution/implementation specific.</t>
  </si>
  <si>
    <t>Is intrusion monitoring performed internally or by a third-party service?</t>
  </si>
  <si>
    <t>In addition to stating your intrusion monitoring strategy, provide a brief summary of its implementation.</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</si>
  <si>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</si>
  <si>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Follow-up inquiries for intrusion monitoring will be institution/implementation specific.</t>
  </si>
  <si>
    <t>Do you monitor for intrusions on a 24 x 7 x 365 basis?</t>
  </si>
  <si>
    <t>State plans to implement 24 x 7 x 365 intrusion monitoring in your environment(s).</t>
  </si>
  <si>
    <t>Provide a brief summary of this activity.</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</si>
  <si>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</si>
  <si>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Follow-up inquiries for 24 x 7 x 365 monitoring will be institution/implementation specific.</t>
  </si>
  <si>
    <t>Do you have a documented patch management process?*</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</si>
  <si>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</si>
  <si>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</si>
  <si>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Can your organization comply with institutional policies on privacy and data protection with regard to users of institutional systems, if required?*</t>
  </si>
  <si>
    <t>Summarize why you will not comply with the institution's IT policy with regards to user privacy and data protection.</t>
  </si>
  <si>
    <t>State that you have reviewed the institution's IT policies with regards to user privacy and data protection.</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</si>
  <si>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</si>
  <si>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</si>
  <si>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Is your company subject to the institution's geographic region's laws and regulations?*</t>
  </si>
  <si>
    <t>State the country that governs and regulates your company.</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</si>
  <si>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</si>
  <si>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</si>
  <si>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Can you accommodate encryption requirements using open standards?</t>
  </si>
  <si>
    <t>Do you have a documented systems development life cycle (SDLC)?</t>
  </si>
  <si>
    <t>State any plans to implement an SDLC.</t>
  </si>
  <si>
    <t>Briefly summarize your SDLC or provide a link or attachment.</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</si>
  <si>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</si>
  <si>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</si>
  <si>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Do you perform background screenings or multi-state background checks on all employees prior to their first day of work?</t>
  </si>
  <si>
    <t>State plans to implement background check elements into your hiring process.</t>
  </si>
  <si>
    <t>Summarize your background check practices.</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</si>
  <si>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</si>
  <si>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</si>
  <si>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</si>
  <si>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</si>
  <si>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</si>
  <si>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</si>
  <si>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If a solution provider's practices are not clear, inquire about training requirements for employees, especially the frequency and scope of content.</t>
  </si>
  <si>
    <t>Do you have a documented information security policy?</t>
  </si>
  <si>
    <t>State plans to implement information security policy at your company.</t>
  </si>
  <si>
    <t>Provide a reference to your information security policy or submit documentation with this fully populated HECVAT.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</si>
  <si>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</si>
  <si>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</si>
  <si>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Are information security principles designed into the product lifecycle?</t>
  </si>
  <si>
    <t>State why security principles are not designed into the product lifecycle.</t>
  </si>
  <si>
    <t>Summarize the information security principles designed into the product lifecycle.</t>
  </si>
  <si>
    <t>Will you comply with applicable breach notification laws?</t>
  </si>
  <si>
    <t>Summarize why you will not comply with applicable breach notification laws.</t>
  </si>
  <si>
    <t>State how quickly the institution will be notified of a data breach or security incident.</t>
  </si>
  <si>
    <t>Do you have an information security awareness program?</t>
  </si>
  <si>
    <t>State plans to implement an information security awareness program.</t>
  </si>
  <si>
    <t>Summarize your information security awareness program.</t>
  </si>
  <si>
    <t>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t>
  </si>
  <si>
    <t>Follow-up inquiries for information security awareness programs will be institution/implementation specific.</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</si>
  <si>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</si>
  <si>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</si>
  <si>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</si>
  <si>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</si>
  <si>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</si>
  <si>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</si>
  <si>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Protecting privileged accounts is crucial to maintaining system integrity in any environment. This question is targeting privilege creep and unmanaged privileged accounts to determine if the solution provider properly manages access control in their application/system environments.</t>
  </si>
  <si>
    <t>Ask the solution provider to summarize their implemented policies and/or procedures.</t>
  </si>
  <si>
    <t>Do you have documented, and currently implemented, internal audit processes and procedures?</t>
  </si>
  <si>
    <t>State plans to document and implement internal audit process and procedure in your environment.</t>
  </si>
  <si>
    <t>Summarize your internal audit processes and procedures.</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</si>
  <si>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</si>
  <si>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Follow-up inquiries for internal audit processes and procedures will be institution/implementation specific.</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</si>
  <si>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</si>
  <si>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</si>
  <si>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</si>
  <si>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This question aims to understand the physical security state of the solution provider's operating environment and whether or not physical assets are appropriately protected.</t>
  </si>
  <si>
    <t>Follow-up inquiries for physical security controls and policies will be institution/implementation specific.</t>
  </si>
  <si>
    <t>Do you have a formal incident response plan?</t>
  </si>
  <si>
    <t>State plans to formalize an incident response plan.</t>
  </si>
  <si>
    <t>Summarize or provide a link to your formal incident response plan.</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</si>
  <si>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</si>
  <si>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</si>
  <si>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Do you either have an internal incident response team or retain an external team?</t>
  </si>
  <si>
    <t>Describe your timeline for implementing such a process for response and reporting.</t>
  </si>
  <si>
    <t>Summarize your incident response and reporting processes.</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</si>
  <si>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</si>
  <si>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Do you have the capability to respond to incidents on a 24 x 7 x 365 basis?</t>
  </si>
  <si>
    <t>State plans for acquiring internal resources or an external team.</t>
  </si>
  <si>
    <t>Summarize your internal approach or reference your third-party contractor.</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</si>
  <si>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</si>
  <si>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</si>
  <si>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Do you carry cyber-risk insurance to protect against unforeseen service outages, data that is lost or stolen, and security incidents?</t>
  </si>
  <si>
    <t>State plans to implement coverage in the future or how you can provide breach/liability coverage to the institution without it.</t>
  </si>
  <si>
    <t>Describe the coverage in place for this solution.</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</si>
  <si>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</si>
  <si>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Are your systems and applications scanned with an authenticated user account for vulnerabilities (that are remediated) prior to new releases?*</t>
  </si>
  <si>
    <t>Describe plans to implement application vulnerability scanning (and remediation) prior to release.</t>
  </si>
  <si>
    <t>Provide a brief description.</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</si>
  <si>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</si>
  <si>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</si>
  <si>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Will you provide results of application and system vulnerability scans to the institution?*</t>
  </si>
  <si>
    <t>Describe why security scan results will not be provided to the institution.</t>
  </si>
  <si>
    <t>Provide a reference to security scan documentation.</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</si>
  <si>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</si>
  <si>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</si>
  <si>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Will you allow the institution to perform its own vulnerability testing and/or scanning of your systems and/or application, provided that testing is performed at a mutually agreed upon time and date?*</t>
  </si>
  <si>
    <t>Provide a brief summary for your response.</t>
  </si>
  <si>
    <t>Provide reference to the process or procedure to set up security testing times and scopes.</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</si>
  <si>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</si>
  <si>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Follow-up inquiries for vulnerability scanning and penetration testing will be institution/implementation specific.</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</si>
  <si>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</si>
  <si>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</si>
  <si>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</si>
  <si>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</si>
  <si>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Ask if there has ever been a vulnerability scan. A short lapse in external assessment validity can be understood (if there is a planned assessment), but a significant time lapse or no scan whatsoever is cause for elevated levels of concern.</t>
  </si>
  <si>
    <t>Do you regularly scan for common web application security vulnerabilities (e.g., SQL injection, XSS, XSRF, etc.)?</t>
  </si>
  <si>
    <t>Ensure that all elements of VULN-05 are clearly stated in your response.</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</si>
  <si>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</si>
  <si>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</si>
  <si>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Are your systems and applications regularly scanned externally for vulnerabilities?</t>
  </si>
  <si>
    <t>Describe any plans to implement external vulnerability scanning for your applications.</t>
  </si>
  <si>
    <t>Describe your external application vulnerability scanning strategy.</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</si>
  <si>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</si>
  <si>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"no," inquire if there has ever been a vulnerability scan. A short lapse in external assessment validity can be understood (if there is a planned assessment), but a significant time lapse or no scan whatsoever is cause for elevated levels of concern.</t>
  </si>
  <si>
    <t>Do your workforce members receive regular training related to the Health Insurance Portability and Accountability Act (HIPAA) Privacy and Security Rules and the HITECH Act?*</t>
  </si>
  <si>
    <t>Case-specific</t>
  </si>
  <si>
    <t>If REQU-05 is no, populate solution provider answer with B6 in Auto Responses tab</t>
  </si>
  <si>
    <t>Refer to HIPAA regulations documentation for supplemental guidance in this section.</t>
  </si>
  <si>
    <t>HIPAA</t>
  </si>
  <si>
    <t>Refer to HIPAA documentation or your institution's Chief HIPAA Security Officer.</t>
  </si>
  <si>
    <t>Have you identified areas of risk?*</t>
  </si>
  <si>
    <t>Have the relevant policies/plans been tested?*</t>
  </si>
  <si>
    <t>Have you entered into a Business Associate Agreements with all subcontractors who may have access to protected health information (PHI)?*</t>
  </si>
  <si>
    <t>Do you monitor or receive information regarding changes in HIPAA regulations?</t>
  </si>
  <si>
    <t>Has your organization designated HIPAA Privacy and Security officers as required by the rules?</t>
  </si>
  <si>
    <t>Do you comply with the requirements of the Health Information Technology for Economic and Clinical Health Act (HITECH)?</t>
  </si>
  <si>
    <t>Have you conducted a risk analysis as required under the HIPAA Security Rule?</t>
  </si>
  <si>
    <t>Have you taken actions to mitigate the identified risks?</t>
  </si>
  <si>
    <t>Does your application require user and system administrator password changes at a frequency no greater than 90 days?</t>
  </si>
  <si>
    <t>Does your application require users to set their own password after an administrator reset or on first use of the account?</t>
  </si>
  <si>
    <t>Does your application lock out an account after a number of failed login attempts?</t>
  </si>
  <si>
    <t>Does your application automatically lock or log-out an account after a period of inactivity?</t>
  </si>
  <si>
    <t>Are passwords visible in plain text, whether when stored or entered, including service level accounts (i.e., database accounts, etc.)?</t>
  </si>
  <si>
    <t>If the application is institution-hosted, can all service level and administrative account passwords be changed by the institution?</t>
  </si>
  <si>
    <t>Does your application provide the ability to define user access levels?</t>
  </si>
  <si>
    <t>Does your application support varying levels of access to administrative tasks defined individually per user?</t>
  </si>
  <si>
    <t>Does your application support varying levels of access to records based on user ID?</t>
  </si>
  <si>
    <t>Is there a limit to the number of groups to which a user can be assigned?</t>
  </si>
  <si>
    <t>Do accounts used for solution provider-supplied remote support abide by the same authentication policies and access logging as the rest of the system?</t>
  </si>
  <si>
    <t>Does the application log record access including specific user, date/time of access, and originating IP or device?</t>
  </si>
  <si>
    <t>Does the application log administrative activity, such as user account access changes and password changes, including specific user, date/time of changes, and originating IP or device?</t>
  </si>
  <si>
    <t>Do you retain logs for at least as long as required by HIPAA regulations?</t>
  </si>
  <si>
    <t xml:space="preserve">List how long you retain relevant logs. </t>
  </si>
  <si>
    <t>Can the application logs be archived?</t>
  </si>
  <si>
    <t>Can the application logs be saved externally?</t>
  </si>
  <si>
    <t>Do you have a disaster recovery plan and emergency mode operation plan?</t>
  </si>
  <si>
    <t>Can you provide a HIPAA compliance attestation document?</t>
  </si>
  <si>
    <t>Are you willing to enter into a Business Associate Agreement (BAA)?</t>
  </si>
  <si>
    <t>Do your data backup and retention policies and practices meet HIPAA requirements?</t>
  </si>
  <si>
    <t>Do you have a current, executed within the past year, Attestation of Compliance (AoC) or Report on Compliance (RoC)?*</t>
  </si>
  <si>
    <t>If REQU-06 is no, populate solution provider answer with B7 in Auto Responses tab</t>
  </si>
  <si>
    <t>Refer to PCI DSS Security Standards for supplemental guidance in this section</t>
  </si>
  <si>
    <t>PCI DSS</t>
  </si>
  <si>
    <t>Refer to PCI DSS documentation or your institution's treasurer's office.</t>
  </si>
  <si>
    <t>Is the application listed as an approved Payment Application Data Security Standard (PA-DSS) application?*</t>
  </si>
  <si>
    <t>Does the system or solutions use a third party to collect, store, process, or transmit cardholder (payment/credit/debt card) data?*</t>
  </si>
  <si>
    <t>Do your systems or solutions store, process, or transmit cardholder (payment/credit/debt card) data?</t>
  </si>
  <si>
    <t>Are you compliant with the Payment Card Industry Data Security Standard (PCI DSS)?</t>
  </si>
  <si>
    <t>Are you classified as a service provider?</t>
  </si>
  <si>
    <t>Are you on the list of Visa approved service providers?</t>
  </si>
  <si>
    <t>Are you classified as a merchant? If so, what level (1, 2, 3, 4)?</t>
  </si>
  <si>
    <t>Describe the architecture employed by the system to verify and authorize credit card transactions.</t>
  </si>
  <si>
    <t>What payment processors/gateways does the system support?</t>
  </si>
  <si>
    <t>Can the application be installed in a PCI DSS–compliant manner?</t>
  </si>
  <si>
    <t>Include documentation describing the system's abilities to comply with the PCI DSS and any features or capabilities of the system that must be added or changed in order to operate in compliance with the standards.</t>
  </si>
  <si>
    <t>Do you support role-based access control (RBAC) for system administrators?</t>
  </si>
  <si>
    <t>If REQU-07 is no, populate solution provider answer with B8 in Auto Responses tab</t>
  </si>
  <si>
    <t>Describe any limitations to your roles-based approach.</t>
  </si>
  <si>
    <t>Describe your RBAC.</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</si>
  <si>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</si>
  <si>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Ask the solution provider to summarize the best practices for securing their system(s) administratively without the use of RBAC. Make sure to understand the administrative requirements/overhead introduced in the solution provider's environment.</t>
  </si>
  <si>
    <t>Can your employees access customer systems remotely?</t>
  </si>
  <si>
    <t>Describe the tools and technical controls implemented to secure remote access.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</si>
  <si>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</si>
  <si>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Ask the solution provider to summarize the reasoning behind this business process and request additional documentation that outlines the security controls implemented to safeguard institutional data.</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</si>
  <si>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</si>
  <si>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</si>
  <si>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</si>
  <si>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Many systems can be used a variety of ways. We want these implementation type diagrams so that we can understand the "real" use of the solution.</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</si>
  <si>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</si>
  <si>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Do you require remote management of the system?</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</si>
  <si>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</si>
  <si>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If you answered "yes" to OPEM-04, are your remote actions and changes logged or otherwise visible to the campus?</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</si>
  <si>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</si>
  <si>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</si>
  <si>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If a weak response is given to this answer, it is appropriate to ask directed answers to get specific information. Ensure that questions are targeted to ensure responses will come from the appropriate party within the solution provider.</t>
  </si>
  <si>
    <t>If you maintain remote access to the system, will you handle data in a FERPA-compliant manner?</t>
  </si>
  <si>
    <t>State plans to handle data in a FERPA-compliant manner.</t>
  </si>
  <si>
    <t>Describe how FERPA compliance is integrated into your process and procedures.</t>
  </si>
  <si>
    <t>This is standard documentation, relevant to institution implementations requiring FERPA compliance.</t>
  </si>
  <si>
    <t>Follow-up inquiries for FERPA compliance details will be institution/implementation specific.</t>
  </si>
  <si>
    <t>Do you support campus status monitoring through SNMPv3 or other means?</t>
  </si>
  <si>
    <t>Describe your plans to support monitoring.</t>
  </si>
  <si>
    <t>Please describe your monitoring support.</t>
  </si>
  <si>
    <t>Standard documentation question. With an on-premise device, the possibility to tie-in with existing monitoring/management systems is beneficial. The solution provider's response should be clear and concise.</t>
  </si>
  <si>
    <t>Follow-up inquiries for monitoring via SNMPv3 will be institution/implementation specific.</t>
  </si>
  <si>
    <t>Describe or provide a reference to any other safeguards used to monitor for malicious activity.</t>
  </si>
  <si>
    <t>Please detail your monitoring strategy</t>
  </si>
  <si>
    <t>This question is primarily focused on system(s) integrity and confidentiality. The solution provider's response should clearly state the system(s) capabilities to properly monitor for (and alert for) malicious activity.</t>
  </si>
  <si>
    <t>Follow-up inquiries for system monitoring will be institution/implementation specific.</t>
  </si>
  <si>
    <t>Describe how long your organization has conducted business in this area.</t>
  </si>
  <si>
    <t>Include the number of years and in what capacity.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</si>
  <si>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</si>
  <si>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</si>
  <si>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Do you have existing higher education customers?</t>
  </si>
  <si>
    <t>State your primary industry.</t>
  </si>
  <si>
    <t>Provide a list of higher education references, with contact information.</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</si>
  <si>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</si>
  <si>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A simple "yes" without any references or supporting information should be questioned. Question the size of institutions that are using the solution and the scope of their implementations.</t>
  </si>
  <si>
    <t>Does your solution process FERPA-related data?</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</si>
  <si>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</si>
  <si>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</si>
  <si>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</si>
  <si>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</si>
  <si>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Does your solution process GDPR-related or PIPL-related data?</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</si>
  <si>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</si>
  <si>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</si>
  <si>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Does your solution process personal data regulated by state law(s) (e.g., CCPA)?</t>
  </si>
  <si>
    <t>Provide documentation of any processes or policies that address compliance with applicable state laws.</t>
  </si>
  <si>
    <t>Does your solution process user-provided data that may contain regulated information?</t>
  </si>
  <si>
    <t>Identify any applicable regulations and provide documentation of any processes or policies that address compliance with each.</t>
  </si>
  <si>
    <t>Web Link to Product/Service Privacy Notice</t>
  </si>
  <si>
    <t>If multiple notices are implicated, provide all that apply. If any other documents are incorporated by reference, provide them as well.</t>
  </si>
  <si>
    <t>To ensure transparency and verify the vendor provides accessible privacy documentation that institutions can review and share with stakeholders.</t>
  </si>
  <si>
    <t>Please provide the direct URL to your privacy policy and confirm how frequently it is reviewed and updated.</t>
  </si>
  <si>
    <t>Have you had a personal data breach in the past three years that involved reporting to a governmental agency, notice to individuals (including voluntary notice), or notice to another organization or institution?*</t>
  </si>
  <si>
    <t>Please provide details as to the nature of the breach and the remediation conducted.</t>
  </si>
  <si>
    <t>Having a previous data breach can indicate a level of risk that will indicate that the institution should further investigate changes made after the breach.</t>
  </si>
  <si>
    <t>Use this area to share information about your privacy practices that will assist those who are assessing your company data privacy program.*</t>
  </si>
  <si>
    <t>Share any additional details that would help data privacy analysts assess your solution.</t>
  </si>
  <si>
    <t>To gather voluntary disclosures that provide additional context beyond required responses, helping assessors understand the vendor's privacy culture and proactive commitment to data protection.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</si>
  <si>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</si>
  <si>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</si>
  <si>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</si>
  <si>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Do you have a dedicated data privacy staff or office?</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</si>
  <si>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</si>
  <si>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</si>
  <si>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</si>
  <si>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</si>
  <si>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If you have completed a SOC 2 audit, does it include the Privacy Trust Service Principle?</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</si>
  <si>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</si>
  <si>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</si>
  <si>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</si>
  <si>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This is specifically asking for the Privacy Trust Service Principle, which is not always included in a SOC 2 audit.</t>
  </si>
  <si>
    <t>Do you conform with a specific industry-standard privacy framework (e.g., NIST Privacy Framework, GDPR, ISO 27701)?</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</si>
  <si>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</si>
  <si>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</si>
  <si>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</si>
  <si>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</si>
  <si>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</si>
  <si>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Does your employee onboarding and offboarding policy include training of employees on information security and data privacy?</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</si>
  <si>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</si>
  <si>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</si>
  <si>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t>
  </si>
  <si>
    <t>If training is provided to specific employee groups only, please provide information as to which groups and an overview of the training for each group.</t>
  </si>
  <si>
    <t>Do you have contractual agreements with third parties that require them to maintain standards and to comply with all regulatory requirements?*</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</si>
  <si>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</si>
  <si>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</si>
  <si>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</si>
  <si>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</si>
  <si>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Do you perform privacy impact assessments of third parties that collect, process, or have access to personal data to ensure they meet industry and regulatory standards and to mitigate harmful, unethical, or discriminatory impacts on data subjects?</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</si>
  <si>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</si>
  <si>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</si>
  <si>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Provide a summary of your practices that assures that the third party will be subject to the appropriate standards regarding data privacy.</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</si>
  <si>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</si>
  <si>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</si>
  <si>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Does your change management process include privacy review and approval?</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</si>
  <si>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</si>
  <si>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</si>
  <si>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</si>
  <si>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</si>
  <si>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Do you have policy and procedure, currently implemented, guiding how privacy risks are mitigated until they can be resolved?</t>
  </si>
  <si>
    <t>Policy and procedure should include specific steps to take in the process of mitigating privacy risks.</t>
  </si>
  <si>
    <t>Please provide an overview of privacy risk mitigation.</t>
  </si>
  <si>
    <t>It is important to have a procedure in place to mitigate privacy risks as they come up.</t>
  </si>
  <si>
    <t>Do you collect, process, or store demographic information?*</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</si>
  <si>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</si>
  <si>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</si>
  <si>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</si>
  <si>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</si>
  <si>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</si>
  <si>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</si>
  <si>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</si>
  <si>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Do you combine institutional data (including "de-identified," "anonymized," or otherwise masked data) with personal data from any other sources?*</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</si>
  <si>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</si>
  <si>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Describe the other sources and provide a list of elements, including any keys that connect the datasets.</t>
  </si>
  <si>
    <t>To identify potential re-identification risks and ensure the vendor doesn't merge institutional data with external datasets in ways that could compromise privacy protections or violate data use restrictions.</t>
  </si>
  <si>
    <t>If yes, describe what types of external data sources are combined with institutional data and for what purposes.</t>
  </si>
  <si>
    <t>Is institutional data coming into or going out of the United States at any point during collection, processing, storage, or archiving?</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</si>
  <si>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</si>
  <si>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Describe where and whether you comply with the laws of that jurisdiction.</t>
  </si>
  <si>
    <t>To assess cross-border data transfer risks and ensure compliance with international privacy regulations including GDPR, data localization requirements, and data sovereignty considerations.</t>
  </si>
  <si>
    <t>If yes, identify which countries data flows to/from and what safeguards are in place (e.g., Standard Contractual Clauses, adequacy decisions).</t>
  </si>
  <si>
    <t>Do you capture device information (e.g., IP address, MAC address)?</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</si>
  <si>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</si>
  <si>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</si>
  <si>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</si>
  <si>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Does any part of this service/project involve a web/app tracking component (e.g., use of web-tracking pixels, cookies)?</t>
  </si>
  <si>
    <t>Web tracking can be used to identify users via their IP address, login information, browser information, etc.</t>
  </si>
  <si>
    <t>Describe the tracking component and what is done with the information.</t>
  </si>
  <si>
    <t>Does your staff (or a third party) have access to institutional data (e.g., financial, PHI, or other sensitive information) through any means?</t>
  </si>
  <si>
    <t>Accessing institutional data may be necessary for legitimate business purposes.</t>
  </si>
  <si>
    <t>Summarize the access that staff (or third parties) have to institutional data.</t>
  </si>
  <si>
    <t>Institutional data may be sensitive in nature and should only be accessed for legitimate business purposes.</t>
  </si>
  <si>
    <t>Will you handle personal data in a manner compliant with all relevant laws, regulations, and applicable institution policies?</t>
  </si>
  <si>
    <t>If no, why not? Are there plans for this to be implemented and, if so, when?</t>
  </si>
  <si>
    <t>Personal data that is handled improperly or against law/regulation can have significant negative impact.</t>
  </si>
  <si>
    <t>Do you have a documented privacy management process?</t>
  </si>
  <si>
    <t>Are there plans to implement? If so, when will this be completed?</t>
  </si>
  <si>
    <t>Describe privacy management process or provide links or attach documentation.</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</si>
  <si>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</si>
  <si>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</si>
  <si>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Are privacy principles designed into the product lifecycle (i.e., privacy-by-design)?</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</si>
  <si>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</si>
  <si>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State why principles are not designed into the product lifecycle.</t>
  </si>
  <si>
    <t>Summarize the privacy principles designed into the product lifecycle.</t>
  </si>
  <si>
    <t>Building privacy principles into the product lifecycle (e.g., privacy-by-design) can help ease the privacy management process.</t>
  </si>
  <si>
    <t>Provide reason for not complying.</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</si>
  <si>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</si>
  <si>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</si>
  <si>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</si>
  <si>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Will you comply with the institution's policies regarding user privacy and data protection?</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</si>
  <si>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</si>
  <si>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</si>
  <si>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</si>
  <si>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Do any parts of your institutional policy conflict with the solution provider's standard practices?</t>
  </si>
  <si>
    <t>Is your company subject to the laws and regulations of the institution's geographic region?</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</si>
  <si>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</si>
  <si>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</si>
  <si>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</si>
  <si>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</si>
  <si>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Do you have a privacy awareness/training program?*</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</si>
  <si>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</si>
  <si>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</si>
  <si>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</si>
  <si>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</si>
  <si>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Is privacy awareness training mandatory for all employees?</t>
  </si>
  <si>
    <t>Describe plans to require.</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</si>
  <si>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</si>
  <si>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</si>
  <si>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</si>
  <si>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Is AI privacy and ethics awareness/training required for all employees who work with AI?</t>
  </si>
  <si>
    <t>Describe plans to include AI training.</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</si>
  <si>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</si>
  <si>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</si>
  <si>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Do you have any decision-making processes that are completely automated (i.e., there is no human involvement)?</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</si>
  <si>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</si>
  <si>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</si>
  <si>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</si>
  <si>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</si>
  <si>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Do you have a documented process for managing automated processing, including validations, monitoring, and data subject requests?</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</si>
  <si>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</si>
  <si>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</si>
  <si>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</si>
  <si>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Do you have a documented policy for sharing information with law enforcement?</t>
  </si>
  <si>
    <t>Explain any plans to develop a policy. If no plans exist, explain why not.</t>
  </si>
  <si>
    <t>Provide a high-level overview of the policy or plans to implement a policy.</t>
  </si>
  <si>
    <t>The institution should know which laws apply to the data to which the solution provider will have access. You should also have a thorough understanding of how requests from law enforcement will be handled.</t>
  </si>
  <si>
    <t>Do you share any institutional data with law enforcement without a valid warrant or subpoena?*</t>
  </si>
  <si>
    <t>Describe how you ensure this does not occur.</t>
  </si>
  <si>
    <t>Describe the circumstances in which you share with law enforcement.</t>
  </si>
  <si>
    <t>To protect institutional and individual privacy rights by ensuring data is only disclosed to law enforcement through proper legal channels with appropriate due process protections.</t>
  </si>
  <si>
    <t>If yes, under what circumstances and with what documentation/notification to the institution?</t>
  </si>
  <si>
    <t>Does your incident response team include a privacy analyst/officer?</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</si>
  <si>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</si>
  <si>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</si>
  <si>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</si>
  <si>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</si>
  <si>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Will data be collected from or processed in or stored in the European Economic Area (EEA)?</t>
  </si>
  <si>
    <t>See GDPR Chapter 1, Art. 4, for definitions.</t>
  </si>
  <si>
    <t>Describe where and what activities will take place in the EEA.</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</si>
  <si>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</si>
  <si>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</si>
  <si>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Do you have a data protection officer (DPO)?</t>
  </si>
  <si>
    <t>See GDPR Chapter 4, Section 4, for DPO information.</t>
  </si>
  <si>
    <t>Provide the name and contact information for the DPO.</t>
  </si>
  <si>
    <t>Vendors targeting services in the EEA/UK should have GDPR-compliant policies and procedures.</t>
  </si>
  <si>
    <t>Will you sign appropriate GDPR Standard Contractual Clauses (SCCs) with the institution?</t>
  </si>
  <si>
    <t>See GDPR Chapter 5, Art. 46, for SCC information.</t>
  </si>
  <si>
    <t>Vendors targeting services in the EEA/UK should have the ability to agree to the SCCs.</t>
  </si>
  <si>
    <t>Will data be collected from or processed in or stored in China?</t>
  </si>
  <si>
    <t>See PIPL Chapter 1 for definitions.</t>
  </si>
  <si>
    <t>Describe where and what activities will take place in China.</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</si>
  <si>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</si>
  <si>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</si>
  <si>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Do you comply with PIPL security, privacy, and data localization requirements?</t>
  </si>
  <si>
    <t>See PIPL Chapter 5 for requirements.</t>
  </si>
  <si>
    <t>Vendors targeting services in China should have the ability to comply with PIPL requirements.</t>
  </si>
  <si>
    <t>Have you performed a Data Privacy Impact Assessment for the solution/project?</t>
  </si>
  <si>
    <t>Provide timeline for this or reason not to perform.</t>
  </si>
  <si>
    <t>Provide copy, link, or summary overview.</t>
  </si>
  <si>
    <t>To verify the vendor has systematically evaluated privacy risks and implemented appropriate safeguards before deploying their solution, demonstrating privacy-by-design principles.</t>
  </si>
  <si>
    <t>Please provide a copy of the DPIA or summary of findings and mitigation measures.</t>
  </si>
  <si>
    <t>Do you provide an end-user privacy notice about privacy policies and procedures that identify the purpose(s) for which personal information is collected, used, retained, and disclosed?</t>
  </si>
  <si>
    <t>Provide link or copy.</t>
  </si>
  <si>
    <t>To ensure transparency with end users about data practices and compliance with privacy notice requirements under FERPA, GDPR, CCPA, and other applicable regulations.</t>
  </si>
  <si>
    <t>How do you inform users of changes to the policy?</t>
  </si>
  <si>
    <t>Do you describe the choices available to the individual and obtain implicit or explicit consent with respect to the collection, use, and disclosure of personal information?</t>
  </si>
  <si>
    <t>N/A is only an acceptable answer if you answered "no" to ALL of the following 7 questions: PRGN-01, 02, 03, 04 and PDAT-01, 02, 03</t>
  </si>
  <si>
    <t>To verify meaningful consent mechanisms exist and users have adequate control over their personal information in accordance with fair information practice principles and regulatory requirements.</t>
  </si>
  <si>
    <t>Describe your consent mechanism and how users can withdraw consent if they choose.</t>
  </si>
  <si>
    <t>Do you collect personal information only for the purpose(s) identified in the agreement with an institution or, if there is none, the purpose(s) identified in the privacy notice?</t>
  </si>
  <si>
    <t>This includes quality assurance, marketing and advertising, etc.</t>
  </si>
  <si>
    <t>Describe purposes not included in an agreement with the institution.</t>
  </si>
  <si>
    <t>N/A is only an acceptable answer if you answered "no" to ALL of the following 7 questions: PRGN-01, 02, 03, 04 and PDAT-01, 02, 04</t>
  </si>
  <si>
    <t>Companies may collect information for purposes not outlined in the service agreement, including quality assurance, marketing, etc. Institutions should have a thorough understanding of what data is being used and how.</t>
  </si>
  <si>
    <t>Do you have a documented list of personal data your service maintains?</t>
  </si>
  <si>
    <t>N/A is only an acceptable answer if you answered "no" to ALL of the following 7 questions: PRGN-01, 02, 03, 04 and PDAT-01, 02, 05</t>
  </si>
  <si>
    <t>To ensure the vendor maintains data inventory records necessary for privacy compliance, breach response, data subject rights requests, and understanding the full scope of data collection.</t>
  </si>
  <si>
    <t>Please provide your data inventory or map showing categories of personal data collected and retention periods.</t>
  </si>
  <si>
    <t>Do you retain personal information for only as long as necessary to fulfill the stated purpose(s) or as required by law or regulation and thereafter appropriately dispose of such information?</t>
  </si>
  <si>
    <t>Briefly outline data retention policies that do not align with regulations.</t>
  </si>
  <si>
    <t>N/A is only an acceptable answer if you answered "no" to ALL of the following 7 questions: PRGN-01, 02, 03, 04 and PDAT-01, 02, 06</t>
  </si>
  <si>
    <t>Data minimization is a basic privacy principle, and it is important to know whether the solution provider is keeping data longer than necessary and introducing a significant privacy risk.</t>
  </si>
  <si>
    <t>Do you provide individuals with access to their personal information for review and update (i.e., data subject rights)?</t>
  </si>
  <si>
    <t>Such processes would include descriptions of request processes individuals can follow to review their information and written processes a data subject may use to ask for changes or corrections to data held about them.</t>
  </si>
  <si>
    <t>N/A is only an acceptable answer if you answered "no" to ALL of the following 7 questions: PRGN-01, 02, 03, 04 and PDAT-01, 02, 07</t>
  </si>
  <si>
    <t>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t>
  </si>
  <si>
    <t>Do you disclose personal information to third parties only for the purpose(s) identified in the privacy notice or with the implicit or explicit consent of the individual?</t>
  </si>
  <si>
    <t>N/A is only an acceptable answer if you answered "no" to ALL of the following 7 questions: PRGN-01, 02, 03, 04 and PDAT-01, 02, 08</t>
  </si>
  <si>
    <t>To limit unauthorized third-party data sharing and ensure transparency about data flows beyond the direct vendor relationship, protecting against unexpected secondary uses.</t>
  </si>
  <si>
    <t>Provide a list of third parties who receive personal information and the purpose for each disclosure.</t>
  </si>
  <si>
    <t>Do you protect personal information against unauthorized access (both physical and logical)?</t>
  </si>
  <si>
    <t>N/A is only an acceptable answer if you answered "no" to ALL of the following 7 questions: PRGN-01, 02, 03, 04 and PDAT-01, 02, 09</t>
  </si>
  <si>
    <t>To verify appropriate security controls are in place to protect personal data from breaches, unauthorized disclosure, and both external and internal threats.</t>
  </si>
  <si>
    <t>Describe your access control mechanisms, encryption methods, and incident response procedures.</t>
  </si>
  <si>
    <t>Do you maintain accurate, complete, and relevant personal information for the purposes identified in the privacy notice?</t>
  </si>
  <si>
    <t>N/A is only an acceptable answer if you answered "no" to ALL of the following 7 questions: PRGN-01, 02, 03, 04 and PDAT-01, 02, 10</t>
  </si>
  <si>
    <t>To ensure data quality practices that prevent privacy harms from inaccurate or outdated personal information, particularly in contexts where data accuracy affects individual rights or opportunities.</t>
  </si>
  <si>
    <t>What processes do you have for individuals to review and correct their personal information?</t>
  </si>
  <si>
    <t>Do you have procedures to address privacy-related noncompliance complaints and disputes?</t>
  </si>
  <si>
    <t>Provide a brief overview of processes or procedures to handle privacy-related complaints.</t>
  </si>
  <si>
    <t>N/A is only an acceptable answer if you answered "no" to ALL of the following 7 questions: PRGN-01, 02, 03, 04 and PDAT-01, 02, 11</t>
  </si>
  <si>
    <t>To verify accountability mechanisms exist for addressing privacy concerns, providing recourse to affected individuals, and demonstrating responsiveness to privacy complaints.</t>
  </si>
  <si>
    <t>Describe your complaint handling process, typical response times, and escalation procedures.</t>
  </si>
  <si>
    <t>Do you "anonymize," "de-identify," or otherwise mask personal data?</t>
  </si>
  <si>
    <t>Briefly describe method used to mask data.</t>
  </si>
  <si>
    <t>N/A is only an acceptable answer if you answered "no" to ALL of the following 7 questions: PRGN-01, 02, 03, 04 and PDAT-01, 02, 12</t>
  </si>
  <si>
    <t>To understand the vendor's approach to privacy-enhancing techniques and assess whether data masking methods are appropriate, effective, and aligned with recognized anonymization standards.</t>
  </si>
  <si>
    <t>Describe your anonymization methodology and any validation or testing performed to ensure re-identification risks are minimized.</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</si>
  <si>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</si>
  <si>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</si>
  <si>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N/A is only an acceptable answer if you answered "no" to ALL of the following 7 questions: PRGN-01, 02, 03, 04 and PDAT-01, 02, 13</t>
  </si>
  <si>
    <t>To prevent secondary use of institutional data that could undermine privacy protections, contradict institutional data governance policies, or enable commercial uses incompatible with educational purposes.</t>
  </si>
  <si>
    <t>If yes, provide details on secondary uses and obtain specific written consent from the institution for these uses.</t>
  </si>
  <si>
    <t>Do you certify stop-processing requests, including any data that is processed by a third party on your behalf?</t>
  </si>
  <si>
    <t>Provide evidence of existing processes or policies. The internal privacy policy should explain your organization's policies and practices regarding the collection of personal information and other data about individuals.</t>
  </si>
  <si>
    <t>Briefly outline relevant processes.</t>
  </si>
  <si>
    <t>N/A is only an acceptable answer if you answered "no" to ALL of the following 7 questions: PRGN-01, 02, 03, 04 and PDAT-01, 02, 14</t>
  </si>
  <si>
    <t>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</si>
  <si>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organizations or organizations located outside the United States, depending on the services sought, your institution should determine whether this is a requirement.</t>
  </si>
  <si>
    <t>Do you have a process to review code for ethical considerations?</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</si>
  <si>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</si>
  <si>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</si>
  <si>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Does your service use AI for the processing of institutional data?</t>
  </si>
  <si>
    <t>If REQU-04 is no, populate solution provider answer with B5 in Auto Responses tab</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</si>
  <si>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</si>
  <si>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</si>
  <si>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To identify AI-related privacy risks including potential bias, unintended disclosures, lack of explainability in automated decision-making, and training data provenance concerns.</t>
  </si>
  <si>
    <t>Ask for documentation or a summary of how AI models are developed or used, including training data sources and whether outputs are reviewed by humans.</t>
  </si>
  <si>
    <t>Is any institutional data retained in AI processing?*</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</si>
  <si>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</si>
  <si>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</si>
  <si>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</si>
  <si>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</si>
  <si>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Do you have agreements in place with third parties or subprocessors regarding the protection of customer data and use of AI?*</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</si>
  <si>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</si>
  <si>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</si>
  <si>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</si>
  <si>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</si>
  <si>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Will institutional data be processed through a third party or subprocessor that also uses AI?</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</si>
  <si>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</si>
  <si>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</si>
  <si>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</si>
  <si>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</si>
  <si>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Is AI processing limited to fully licensed commercial enterprise AI services?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</si>
  <si>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</si>
  <si>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</si>
  <si>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</si>
  <si>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Will institutional data be used or processed by any shared AI services?</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</si>
  <si>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</si>
  <si>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</si>
  <si>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Do you have safeguards in place to protect institutional data and data privacy from unintended AI queries or processing?</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</si>
  <si>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</si>
  <si>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</si>
  <si>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Do you provide choice to the user to opt out of AI use?</t>
  </si>
  <si>
    <t>Provide the language used for a user to opt-out or consent to the use of AI</t>
  </si>
  <si>
    <t>To ensure user autonomy regarding AI processing of their data and compliance with emerging AI transparency requirements and ethical principles around algorithmic decision-making.</t>
  </si>
  <si>
    <t>Describe the opt-out mechanism and any limitations or service impacts if a user opts out of AI processing.</t>
  </si>
  <si>
    <t>Does your solution leverage machine learning (ML) or do you plan to do so in the next 12 months?</t>
  </si>
  <si>
    <t>Answer "yes" even if you do not create your own machine learning solutions, and answer the questions as they apply to your contractual relationship with the third party you utilize.</t>
  </si>
  <si>
    <t>DO NOT complete the Machine Learning section (AIML)</t>
  </si>
  <si>
    <t>DO complete the Machine Learning section (AIML)</t>
  </si>
  <si>
    <t>Does your solution leverage a large language model (LLM) or do you plan to do so in the next 12 months?</t>
  </si>
  <si>
    <t>Answer "yes" even if you do not train your own LLM models, and answer the questions as they apply to your contractual relationship with the third party you utilize.</t>
  </si>
  <si>
    <t>DO NOT complete the Large Language Model section (AILM)</t>
  </si>
  <si>
    <t>DO complete the Large Language Model section (AILM)</t>
  </si>
  <si>
    <t>Does your solution have an AI risk model when developing or implementing your solution's AI model?*</t>
  </si>
  <si>
    <t>Examples include NIST AI RMF, OWASP Top 10, RAFT, and MITRE ATLAS.</t>
  </si>
  <si>
    <t>Describe your current AI risk management strategy. Provide a timeline for implementation of an AI risk framework, model, or methodology.</t>
  </si>
  <si>
    <t>Provide the AI risk framework, model, or methodology used.</t>
  </si>
  <si>
    <t>To ensure the vendor has proactive governance and has a defined, documented risk management strategy that is aligned with responsible AI.</t>
  </si>
  <si>
    <t>Can the AI risk model or framework in use be shared? How often is it reviewed and updated? If an AI framework is not in use, what practices are currently used to address AI risks?</t>
  </si>
  <si>
    <t>Can your solution's AI features be disabled by tenant and/or user?*</t>
  </si>
  <si>
    <t>Provide alternate workflows to disable AI features. Describe plans to include control of AI features.</t>
  </si>
  <si>
    <t>Describe the level of AI feature control at the institutional and user level.</t>
  </si>
  <si>
    <t>N/A is only an acceptable answer if AI is the core function of your product.</t>
  </si>
  <si>
    <t>To verify whether customers have control over AI features and can opt out when AI is not desired or creates compliance concerns.</t>
  </si>
  <si>
    <t>How easy is it to disable/enable AI features?</t>
  </si>
  <si>
    <t>Have your staff completed responsible AI training?*</t>
  </si>
  <si>
    <t>Explain what alternative responsible AI awareness activities are in place, including whether future training is planned.</t>
  </si>
  <si>
    <t>Provide the following details about your responsible AI training program: learning objectives, frequency, alignment with standards (e.g., NIST), and who is required to complete the training.</t>
  </si>
  <si>
    <t>To confirm that staff are educated on ethical AI principles, data stewardship, bias mitigation, and compliance, ensuring responsible use and support for customers.</t>
  </si>
  <si>
    <t>Clarify the structure and enforcement of training supports transparency and accountability in AI-related operations.</t>
  </si>
  <si>
    <t>Please describe the capabilities of your solution's AI features.</t>
  </si>
  <si>
    <t>Describe capabilities such as content (text, image, audio, speech, video, or code) generation, visual interpretation, and predictive analytics. This encompasses all AI implementations, including third-party AI features. Clarify use cases or limits of the model.</t>
  </si>
  <si>
    <t>To help institutions understand the scope, functionality, and intended use cases of the AI feature(s) and evaluate whether its capabilities align with institutional needs and risk tolerance.</t>
  </si>
  <si>
    <t>Can documentation of supported AI functions, limitations, and safeguards be provided?</t>
  </si>
  <si>
    <t>Does your solution support business rules to protect sensitive data from being ingested by the AI model?</t>
  </si>
  <si>
    <t>Provide compensating controls for data loss prevention (DLP) as it relates to the inputs and outputs of your AI features. Include a timeline for implementing DLP for your AI features.</t>
  </si>
  <si>
    <t>Provide data loss prevention (DLP) features as they relate to your AI offerings. Indicate whether these DLP rules are configurable at the institutional and/or user level.</t>
  </si>
  <si>
    <t>To determine the risk of sensitive data exposure from AI feature inputs and outputs.</t>
  </si>
  <si>
    <t>Can you provide examples of data loss prevention (DLP) features? Where are these DLP solutions implemented? Are these DLP features customizable?</t>
  </si>
  <si>
    <t>Are your AI developer's policies, processes, procedures, and practices across the organization related to the mapping, measuring, and managing of AI risks conspicuously posted, unambiguous, and implemented effectively?*</t>
  </si>
  <si>
    <t>Describe the steps your developers take to manage AI risks. Include a timeline for implementing policy and procedures for managing AI specific risks.</t>
  </si>
  <si>
    <t>To ensure that the vendor has established a mature AI governance framework, is prepared to manage the complex and evolving risks of AI, and is not likely to transfer that risk directly to customers.</t>
  </si>
  <si>
    <t>Given that a lack of formal governance can expose our institution to significant legal and reputational risks, how can you assure us that partnering with you will not transfer these liabilities to our organization?</t>
  </si>
  <si>
    <t>Have you identified and measured AI risks?*</t>
  </si>
  <si>
    <t>Provide a timeline for performing an AI specific risk assessment. Describe your plan for identifying and measuring AI risk in the future.</t>
  </si>
  <si>
    <t>Provide the standard or framework used to identify and measure AI risk.</t>
  </si>
  <si>
    <t>To help an organization verify that the vendor has a mature, proactive risk management framework in place, which is essential to protect the organization from the legal, financial, and reputational liabilities that can arise from a poorly governed AI system.</t>
  </si>
  <si>
    <t>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t>
  </si>
  <si>
    <t>In the event of an incident, can your solution's AI features be disabled in a timely manner?*</t>
  </si>
  <si>
    <t>Provide a timeline for institutions to have the capability to disable AI features in the event of an incident.</t>
  </si>
  <si>
    <t>Provide documentation on how to disable AI features. Include a time estimate for the time between disabling the feature and when the feature is inaccessible to users.</t>
  </si>
  <si>
    <t>The ability to disable/enable AI features is essential for containing an incident and preventing a security or ethical failure.</t>
  </si>
  <si>
    <t>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t>
  </si>
  <si>
    <t>If disabled because of an incident, can your solution's AI features be re-enabled in a timely manner?*</t>
  </si>
  <si>
    <t>Provide a timeline for institutions to have the capability to enable AI features in the event of an incident recovery.</t>
  </si>
  <si>
    <t>Provide documentation on how to enable AI features. Include a time estimate for the time between enabling the feature and when the feature is accessible to users.</t>
  </si>
  <si>
    <t>This helps an organization create a business continuity plan and incident recovery plan.</t>
  </si>
  <si>
    <t>Do you have documented technical and procedural processes to address potential negative impacts of AI as described by the AI Risk Management Framework (RMF)?</t>
  </si>
  <si>
    <t>Responsible AI development per NIST AI RMF, page 25.</t>
  </si>
  <si>
    <t>Describe your plan and timeline for implementing technical and procedural processes to mitigate negative impacts of AI, as defined by the NIST AI RMF.</t>
  </si>
  <si>
    <t>This question helps maximize the value of the AI feature(s) while minimizing the negative impacts of AI.</t>
  </si>
  <si>
    <t>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t>
  </si>
  <si>
    <t>If sensitive data is introduced to your solution's AI model, can the data be removed from the AI model by request?*</t>
  </si>
  <si>
    <t>Please answer based on whether your AI model supports the removal or unlearning of sensitive data, whether it is introduced intentionally or unintentionally. Consider whether data can be traced and deleted from training sets, vector stores, memory, or other components of the AI system. This includes data removal in compliance with privacy regulations and customer requests.</t>
  </si>
  <si>
    <t>If data removal or unlearning is not supported, explain why and describe compensating controls (e.g., filtering, short-term memory, differential privacy). Clarify how sensitive data is managed, and note any future plans to support deletion requests.</t>
  </si>
  <si>
    <t>Describe how the AI model supports data deletion or unlearning and whether it is manual or automated; include retention timelines, limitations, and how requests are handled. Reference compliance with FERPA, GDPR Article 17, and state privacy laws.</t>
  </si>
  <si>
    <t>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t>
  </si>
  <si>
    <t>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t>
  </si>
  <si>
    <t>Is user input data used to influence your solution's AI model?*</t>
  </si>
  <si>
    <t>Please answer based on whether your solution uses user input data (e.g., prompts, uploads, queries) to fine-tune, train, or otherwise influence the behavior of your AI model. Consider any use of user data for model improvement, personalization, or aggregated learning.</t>
  </si>
  <si>
    <t>Confirm that user input data is not retained or used to train the AI model. Describe controls that prevent institutional data from influencing the model, indicate whether this is included in agreements, and say how institutions will be notified and asked for consent if practices change.</t>
  </si>
  <si>
    <t>Describe whether input data is used for personalization, training, or continuous learning. Indicate whether, if data is anonymized, institutions are notified or can opt out, and describe how use aligns with FERPA, GDPR, and state laws.</t>
  </si>
  <si>
    <t>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t>
  </si>
  <si>
    <t>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t>
  </si>
  <si>
    <t>Do you provide logging for your solution's AI feature(s) that includes user, date, and action taken?*</t>
  </si>
  <si>
    <t>Please answer based on whether your AI features generate audit logs that record user identity, timestamp, and actions taken. Include log retention, immutability, access for administrators or auditors, and how logs support compliance and incident response.</t>
  </si>
  <si>
    <t>If audit logging is not available, explain why and describe alternate controls or planned timelines to support monitoring, incident response, and compliance.</t>
  </si>
  <si>
    <t>Describe what audit logs capture, how long they are retained, whether they are immutable, and how they support audits and oversight.</t>
  </si>
  <si>
    <t>This question helps institutions confirm whether AI features can be audited for user activity, data use, and system behavior. Audit logging supports regulatory compliance, incident response, and transparency in environments handling sensitive or regulated data.</t>
  </si>
  <si>
    <t>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t>
  </si>
  <si>
    <t>Please describe how you validate user inputs.</t>
  </si>
  <si>
    <t>Please describe how your solution validates user inputs, including detection of anomalies, malicious inputs, and sensitive data. Indicate where validation occurs and how it supports security and compliance.</t>
  </si>
  <si>
    <t>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t>
  </si>
  <si>
    <t>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t>
  </si>
  <si>
    <t>Do you plan for and mitigate supply-chain risk related to your AI features?</t>
  </si>
  <si>
    <t>If supply chain risk planning is not in place, explain why and note any compensating controls or future plans.</t>
  </si>
  <si>
    <t>Describe your use of SAST, SBOM, and monitoring of third-party AI components, and how you address vulnerabilities in line with NIST and state requirements</t>
  </si>
  <si>
    <t>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t>
  </si>
  <si>
    <t>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t>
  </si>
  <si>
    <t>Do you separate ML training data from your ML solution data?*</t>
  </si>
  <si>
    <t>If REQU-04 is no, populate solution provider answer with B5 in Auto Responses tab; If AIQU-01 is no, populate with B9</t>
  </si>
  <si>
    <t>Please answer based on whether training data is kept separate from production data to protect institutional information. Include how organizational data is segregated, anonymized, or excluded from training, and state whether institutions can opt out of data use for model improvement.</t>
  </si>
  <si>
    <t>If data separation is not in place, explain why and describe compensating controls to protect institutional data from being used in training. Include whether opt-out options are available or planned.</t>
  </si>
  <si>
    <t>Describe how training data is separated from production data, including anonymization, segregation controls, or exclusions. Indicate whether institutions can opt out of data being used in training.</t>
  </si>
  <si>
    <t>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t>
  </si>
  <si>
    <t>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t>
  </si>
  <si>
    <t>Do you authenticate and verify your ML model's feedback?*</t>
  </si>
  <si>
    <t>Explain why the ML model's feedback is not currently authenticated or verified.</t>
  </si>
  <si>
    <t>Describe the process used to authenticate and verify ML model feedback. Include how you detect and mitigate attempts to introduce model skewing, poisoning, or date/phrase attacks.</t>
  </si>
  <si>
    <t>Verifying ML model feedback helps prevent skewing attacks that could distort predictions or reduce reliability.</t>
  </si>
  <si>
    <t>Understand whether any other controls or processes are in place that would mitigate the risk of the vendor not doing the authentication or verification. How does the vendor perform trigger-sweep evaluations?</t>
  </si>
  <si>
    <t>Is your ML training data vetted, validated, and verified before training the solution's AI model?</t>
  </si>
  <si>
    <t>Explain why the data is not vetted, validated, or verified. Include any future plans to implement this process, and describe any current controls that serve as substitutes for formal vetting and validation.</t>
  </si>
  <si>
    <t>Describe how the training data is vetted, validated and verified before the AI model is trained. Include the process along with the AI/ML data policy. Describe your validation of data labelers to validate the accuracy of the data labeling.</t>
  </si>
  <si>
    <t>This process can reduce the risk of errors or bias, as well as poor data quality undermining the model's accuracy and integrity.</t>
  </si>
  <si>
    <t>What other controls are in place as a substitute to this process? If not all steps are complete, what part of the process is currently being done?</t>
  </si>
  <si>
    <t>Is your ML training data monitored and audited?</t>
  </si>
  <si>
    <t>Explain why training data is not currently monitored or audited, and describe any alternative safeguards in place or future plans to implement monitoring and auditing.</t>
  </si>
  <si>
    <t>Describe the current process for how training data is monitored for any anomalies and audited to detect any data tampering.</t>
  </si>
  <si>
    <t>Training data can be targeted by attackers to influence the ML model’s behavior in harmful ways.</t>
  </si>
  <si>
    <t>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t>
  </si>
  <si>
    <t>Have you limited access to your ML training data to only staff with an explicit business need?</t>
  </si>
  <si>
    <t>Explain why access to training data is not restricted to staff with an explicit business need. Include any existing policies or controls that currently govern data access.</t>
  </si>
  <si>
    <t>Include what roles at your organization have the ability to view or modify ML training data.</t>
  </si>
  <si>
    <t>Have you implemented adversarial training or other model defense mechanisms to protect your ML-related features?</t>
  </si>
  <si>
    <t>Explain why training or other defensive mechanisms have not been implemented. Include controls or other policies in place that would substitute.</t>
  </si>
  <si>
    <t>Describe the defensive strategies in place to protect ML features and how they are tested for effectiveness.</t>
  </si>
  <si>
    <t>Adversarial training and defenses help keep models resilient against manipulation and evasion attacks.</t>
  </si>
  <si>
    <t>What adversarial training is performed on the ML? What defense mechanisms are incorporated into the ML? How is the input validated for the ML?</t>
  </si>
  <si>
    <t>Do you make your ML model transparent through documentation and log inputs and outputs?</t>
  </si>
  <si>
    <t>Explain why the model is not documented, does not log inputs/outputs, or lacks explainability features, and describe any compensating controls or future plans to increase transparency.</t>
  </si>
  <si>
    <t>Describe how the model is made transparent through documentation and logging of inputs and outputs. Provide explanations for predictions.</t>
  </si>
  <si>
    <t>This process helps ensure accountability and detect misuse or anomalies.</t>
  </si>
  <si>
    <t>How long are input/output logs retained, and how is log data protected? How often are transparency and logging processes reviewed or updated? Do logs enable post-hoc trigger correlation?</t>
  </si>
  <si>
    <t>Do you watermark your ML training data?</t>
  </si>
  <si>
    <t>Explain why training data is not watermarked and any compensating controls or future plans.</t>
  </si>
  <si>
    <t>Describe the watermarking process for training data and how it helps track, trace, or protect against compromise. Include dataset fingerprinting, provenance attestations, tools, or techniques used.</t>
  </si>
  <si>
    <t>Watermarking training data supports traceability, making it easier to detect misuse and respond to incidents.</t>
  </si>
  <si>
    <t>Are all training datasets watermarked, or only specific subsets? Are there any policies, procedures, or controls in place that would serve as substitutes or compensating measures for this practice?</t>
  </si>
  <si>
    <t>Do you limit your solution's LLM privileges by default?*</t>
  </si>
  <si>
    <t>Describe other compensating controls for mitigating prompt-injection risk.</t>
  </si>
  <si>
    <t>Describe how privilege control is implemented for the LLM and how trust boundaries are established between LLM, external sources, and extensible functionality (plugins or downstream functions). Include how you leverage "human in the loop" principals.</t>
  </si>
  <si>
    <t>This question addresses misuse, exfiltration/change risk, and over-privileged behavior. It supports accountable operations and auditability.</t>
  </si>
  <si>
    <t>Is the LLM's API token unique? How do you segregate external content from user prompts? Do you manually monitor LLM input and output periodically?</t>
  </si>
  <si>
    <t>Is your LLM training data vetted, validated, and verified before training the solution's AI model?*</t>
  </si>
  <si>
    <t>If REQU-04 is no, populate solution provider answer with B5 in Auto Responses tab; If AIQU-02 is no, populate with B10</t>
  </si>
  <si>
    <t>State whether there are any governance measures, alternative practices, or no controls in place. Summarize how training data is currently managed.</t>
  </si>
  <si>
    <t>Describe your processes for sourcing, licensing, validating, and refreshing training data. Include how sensitive data is handled and how quality checks are performed.</t>
  </si>
  <si>
    <t>Assures lawful, ethical, and auditable data use while reducing IP and privacy risk. This is key to trustworthy AI and effective audits.</t>
  </si>
  <si>
    <t>Request a dataset register with provenance records, license documentation, and change-control history. Request sample outputs of PII scrubbing/anonymization processes, results of bias/safety evaluations, and records of dataset refresh or retirement events.</t>
  </si>
  <si>
    <t>Do any actions taken by your solution's LLM features or plugins require human intervention?*</t>
  </si>
  <si>
    <t>Explain whether alternative safeguards exist, whether plans are in place, or if no oversight is applied. Clarify the degree of autonomy currently allowed.</t>
  </si>
  <si>
    <t>Describe how human approval or oversight is applied before sensitive or high-impact LLM actions are executed. Include where approvals occur and what roles are involved.</t>
  </si>
  <si>
    <t>Prevents autonomous risky actions or misconfigurations and enforces accountability. This limits excessive agency.</t>
  </si>
  <si>
    <t>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t>
  </si>
  <si>
    <t>Do you limit multiple LLM model plugins being called as part of a single input?*</t>
  </si>
  <si>
    <t>If REQU-04 is no, populate solution provider answer with B5 in Auto Responses tab; If AIQU-02 is no, populate with B9</t>
  </si>
  <si>
    <t>Indicate whether compensating controls, planned restrictions, or no limitations are in place. Summarize how plugin or tool use is currently handled.</t>
  </si>
  <si>
    <t>Describe how plugins or external tools are restricted. Include whether limits, validation, or monitoring are applied.</t>
  </si>
  <si>
    <t>Reduces supply-chain and prompt-injection risk, controls attack surface, and clarifies accountability. Aligns with governance expectations.</t>
  </si>
  <si>
    <t>Request a list of all plugins/tools callable by the LLM and the allow-listing criteria/review cadence. Ask for the validation approach, sandbox/egress rules, and test evidence.</t>
  </si>
  <si>
    <t>Do you limit your solution's LLM resource use per request, per step, and per action?</t>
  </si>
  <si>
    <t>Explain whether any alternative practices, future plans, or no limits are in place. Summarize how resource consumption is currently handled.</t>
  </si>
  <si>
    <t>Describe how resource usage such as tokens, CPU, memory, or API calls is managed. Include whether quotas, monitoring, or escalation paths are defined.</t>
  </si>
  <si>
    <t>Prevents denial-of-service and cost overruns from excessive or malicious consumption. Demonstrates managed, measurable operations.</t>
  </si>
  <si>
    <t>Request current default versus maximum token/CPU/memory quotas per tenant, monitoring dashboards of usage, and alerts or incidents where throttling was triggered. Ask about runbooks for resource spikes, evidence of recent resource reviews, and escalation paths.</t>
  </si>
  <si>
    <t>Do you leverage LLM model tuning or other model validation mechanisms?</t>
  </si>
  <si>
    <t>Indicate whether compensating measures, future plans, or no safeguards exist. Summarize how accuracy is currently managed.</t>
  </si>
  <si>
    <t>Describe how you improve factual reliability. Include whether methods such as retrieval augmentation, fact checking, or human review are applied</t>
  </si>
  <si>
    <t>Mitigates hallucinations and ensures decisions rely on verifiable information. Supports trustworthy outcomes and reduces downstream misuse.</t>
  </si>
  <si>
    <t>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t>
  </si>
  <si>
    <t>AILM-07</t>
  </si>
  <si>
    <t>Do you perform taint tracing or tracking on all plugin content related to the LLM?</t>
  </si>
  <si>
    <t>Looking for taint tracing or tracking of LLM plugins to mitigate malicious inputs tuning and prompt engineering.</t>
  </si>
  <si>
    <t xml:space="preserve">This worksheet contains Auto-Responses that auto-populate the other worksheets and the context for when they are used. </t>
  </si>
  <si>
    <t>Question Auto-Response</t>
  </si>
  <si>
    <t>Context</t>
  </si>
  <si>
    <t>INSTRUCTIONS FOR ANALYSTS</t>
  </si>
  <si>
    <t>INSTRUCTIONS FOR HIGH-RISK SCORECARD</t>
  </si>
  <si>
    <t>DROPDOWN OPTIONS</t>
  </si>
  <si>
    <t>SECURITY FRAMEWORK OPTIONS</t>
  </si>
  <si>
    <t>QUESTION CATEGORY NAMES/TITLES</t>
  </si>
  <si>
    <t xml:space="preserve">Based on the response to REQU-01 on the "START HERE" tab, this question does not apply to this product or service. </t>
  </si>
  <si>
    <t>Does not offer a product or platform</t>
  </si>
  <si>
    <t>1. Complete the "Start Here" tab and review the "Required Questions" guidance to find the other sections are required for your product or service.</t>
  </si>
  <si>
    <t>1. Upon initial review, you can check the "Non-Negotiable" box by any question to compile a report of questions that may prohibit a full review.</t>
  </si>
  <si>
    <t xml:space="preserve">1. The scorecard below reflects those questions marked as "Critical Importance" or those where the "Non-Negotiable" box was checked. </t>
  </si>
  <si>
    <t>CIS Critical Security Controls v6.1</t>
  </si>
  <si>
    <t>Full Name</t>
  </si>
  <si>
    <t># of Questions</t>
  </si>
  <si>
    <t>Based on the response to REQU-02 on the "START HERE" tab, this question does not apply to this product or service.</t>
  </si>
  <si>
    <t>No interface for accessibility review</t>
  </si>
  <si>
    <t>2. Complete the "Organization" tab and the applicable questions in each of the next 5 tabs (Product through Privacy) that apply, based on your answers to the "Required Questions."</t>
  </si>
  <si>
    <t>2. When evaluating an answer, a default importance level has been set. You can use the "Importance Override" dropdown to override the default and adjust the value of the question.</t>
  </si>
  <si>
    <t xml:space="preserve">2. Use these condensed, aggregated views to review those questions that pose the highest risk. </t>
  </si>
  <si>
    <t>GNRL</t>
  </si>
  <si>
    <t xml:space="preserve"> General Information</t>
  </si>
  <si>
    <t>Based on the response to REQU-03 on the "START HERE" tab, this question does not apply to this product or service.</t>
  </si>
  <si>
    <t>Not a consultant</t>
  </si>
  <si>
    <t xml:space="preserve">3. Guidance in column E may change based on your answers to prompt details in "Additional Information." If leaving an answer blank, you must also state why in "Additional Information". </t>
  </si>
  <si>
    <t>3. For questions that are qualitative or for which you disagree with the preferred response, make a selection in the "Compliant Override" dropdown to adjust the question's impact on the score.</t>
  </si>
  <si>
    <t>3. Changes cannot be made in this sheet. Please make changes in the appropriate "Evaluation" tab.</t>
  </si>
  <si>
    <t>ISO 27002:2013</t>
  </si>
  <si>
    <t xml:space="preserve"> Company Information</t>
  </si>
  <si>
    <t>Based on the response to REQU-04 on the "START HERE" tab, this question does not apply to this product or service.</t>
  </si>
  <si>
    <t>No AI features</t>
  </si>
  <si>
    <t>4. DO NOT complete any fields in the "Evaluation" sheets or the "Analyst Notes" column.</t>
  </si>
  <si>
    <t xml:space="preserve">4. Each worksheet shows a report for that section. See the "Analyst Report" sheet for a full report of all sections. </t>
  </si>
  <si>
    <t>NIST Cybersecurity Framework</t>
  </si>
  <si>
    <t>REQU</t>
  </si>
  <si>
    <t xml:space="preserve"> Required Questions</t>
  </si>
  <si>
    <t>Based on the response to REQU-05 on the "START HERE" tab, this question does not apply to this product or service.</t>
  </si>
  <si>
    <t>No HIPAA covered PHI</t>
  </si>
  <si>
    <t>5. Return the completed file to institutions.</t>
  </si>
  <si>
    <t xml:space="preserve">5. If you are evaluating a question that appears in an earlier section, the Importance and Compliant Override cannot be changed but additional notes can be added. </t>
  </si>
  <si>
    <t>NIST SP 800-171r1</t>
  </si>
  <si>
    <t xml:space="preserve"> Documentation</t>
  </si>
  <si>
    <t>Based on the response to REQU-06 on the "START HERE" tab, this question does not apply to this product or service.</t>
  </si>
  <si>
    <t>No PCI DSS</t>
  </si>
  <si>
    <t>* Denotes critical questions. Critical questions are those deemed most important to institutions by higher education volunteers.</t>
  </si>
  <si>
    <t>For full instructions, please visit EDUCAUSE.edu/HECVAT</t>
  </si>
  <si>
    <t>Mark as Non-Compliant</t>
  </si>
  <si>
    <t>NIST SP 800-53r4</t>
  </si>
  <si>
    <t xml:space="preserve"> IT Accessibility</t>
  </si>
  <si>
    <t>Based on the response to REQU-07 on the "START HERE" tab, this question does not apply to this product or service.</t>
  </si>
  <si>
    <t>Not on-prem</t>
  </si>
  <si>
    <t>For full instructions, please visit educause.edu/HECVAT</t>
  </si>
  <si>
    <t xml:space="preserve"> Assessment of Third Parties</t>
  </si>
  <si>
    <t>Based on the response to AIQU-01, this question does not apply to this product or service.</t>
  </si>
  <si>
    <t>Does not leverage machine learning</t>
  </si>
  <si>
    <t xml:space="preserve"> Consulting Services</t>
  </si>
  <si>
    <t>Based on the response to AIQU-02, this question does not apply to this product or service.</t>
  </si>
  <si>
    <t>Does not leverage a large language model</t>
  </si>
  <si>
    <t xml:space="preserve"> Application/Service Security</t>
  </si>
  <si>
    <t>DO complete the Product and Infrastructure worksheets.</t>
  </si>
  <si>
    <t>Yes to REQU-01</t>
  </si>
  <si>
    <t>SCORE LOCATIONS</t>
  </si>
  <si>
    <t xml:space="preserve"> Authentication, Authorization, and Account Management</t>
  </si>
  <si>
    <t>DO NOT complete the Product and Infrastructure worksheets.</t>
  </si>
  <si>
    <t>NO to REQU-01</t>
  </si>
  <si>
    <t xml:space="preserve"> Change Management</t>
  </si>
  <si>
    <t>Yes to REQU-02</t>
  </si>
  <si>
    <t>Does Not Apply/Do Not Score</t>
  </si>
  <si>
    <t>START HERE</t>
  </si>
  <si>
    <t xml:space="preserve"> Data</t>
  </si>
  <si>
    <t>NO to REQU-02</t>
  </si>
  <si>
    <t xml:space="preserve"> Datacenter</t>
  </si>
  <si>
    <t>DO complete the Consulting section in the Case-Specific worksheet.</t>
  </si>
  <si>
    <t>YES to REQU-03</t>
  </si>
  <si>
    <t xml:space="preserve"> Firewalls, IDS, IPS, and Networking</t>
  </si>
  <si>
    <t>DO NOT complete the Consulting section in the Case-Specific worksheet.</t>
  </si>
  <si>
    <t>NO to REQU-03</t>
  </si>
  <si>
    <t>Self-Managed</t>
  </si>
  <si>
    <t xml:space="preserve"> Policies, Processes, and Procedures</t>
  </si>
  <si>
    <t>DO complete the Artificial Intelligence (AI) worksheet.</t>
  </si>
  <si>
    <t>YES to REQU-04</t>
  </si>
  <si>
    <t>Physical Co-Location</t>
  </si>
  <si>
    <t xml:space="preserve"> Incident Handling</t>
  </si>
  <si>
    <t>DO NOT complete the Artificial Intelligence (AI) worksheet.</t>
  </si>
  <si>
    <t>NO to REQU-04</t>
  </si>
  <si>
    <t>Virtual Co-Location</t>
  </si>
  <si>
    <t xml:space="preserve"> Vulnerability Management</t>
  </si>
  <si>
    <t>DO complete the HIPAA section in the Case-Specific worksheet.</t>
  </si>
  <si>
    <t>YES to REQU-05</t>
  </si>
  <si>
    <t>AWS</t>
  </si>
  <si>
    <t xml:space="preserve">HIPAA Compliance </t>
  </si>
  <si>
    <t>DO NOT complete the HIPAA section in the Case-Specific worksheet.</t>
  </si>
  <si>
    <t>NO to REQU-05</t>
  </si>
  <si>
    <t>Azure</t>
  </si>
  <si>
    <t xml:space="preserve"> Payment Card Industry Data Security Standard (PCI DSS)</t>
  </si>
  <si>
    <t>DO complete the PCI-DSS section in the Case-Specific worksheet.</t>
  </si>
  <si>
    <t>YES to REQU-06</t>
  </si>
  <si>
    <t>GCP</t>
  </si>
  <si>
    <t xml:space="preserve"> On-Premises Data Solutions</t>
  </si>
  <si>
    <t>DO NOT complete the PCI-DSS section in the Case-Specific worksheet.</t>
  </si>
  <si>
    <t>NO to REQU-06</t>
  </si>
  <si>
    <t>Hybrid/Other</t>
  </si>
  <si>
    <t xml:space="preserve"> General Privacy</t>
  </si>
  <si>
    <t>DO complete the On-Premises Data Solutions section in the Case-Specific worksheet.</t>
  </si>
  <si>
    <t>YES to REQU-07</t>
  </si>
  <si>
    <t xml:space="preserve"> Privacy-Specific Company Details</t>
  </si>
  <si>
    <t>DO NOT complete the On-Premises Data Solutions section in the Case-Specific worksheet.</t>
  </si>
  <si>
    <t>NO to REQU-07</t>
  </si>
  <si>
    <t xml:space="preserve"> Privacy-Specific Documentation</t>
  </si>
  <si>
    <t>Based on the response to DCTR-01, this question does not apply to this product or service.</t>
  </si>
  <si>
    <t>Hosting option selection makes some questions N/A</t>
  </si>
  <si>
    <t xml:space="preserve"> Privacy of Third Parties</t>
  </si>
  <si>
    <t>Based on the response to AIPL-03, this question does not apply to this product or service.</t>
  </si>
  <si>
    <t>Neutral until evaluated</t>
  </si>
  <si>
    <t xml:space="preserve"> Privacy Change Management</t>
  </si>
  <si>
    <t>Based on the response to AAAI-01, this question does not apply to this product or service. Please select N/A.</t>
  </si>
  <si>
    <t xml:space="preserve"> Privacy of Sensitive Data</t>
  </si>
  <si>
    <t xml:space="preserve"> Privacy Policies and Procedures</t>
  </si>
  <si>
    <t xml:space="preserve"> International Privacy</t>
  </si>
  <si>
    <t xml:space="preserve"> Data Privacy</t>
  </si>
  <si>
    <t xml:space="preserve"> Privacy and AI</t>
  </si>
  <si>
    <t>This question does not apply.</t>
  </si>
  <si>
    <t>AIQU</t>
  </si>
  <si>
    <t xml:space="preserve"> AI Qualifying Questions</t>
  </si>
  <si>
    <t>AIGN</t>
  </si>
  <si>
    <t xml:space="preserve"> General AI Questions</t>
  </si>
  <si>
    <t>AIPL</t>
  </si>
  <si>
    <t xml:space="preserve"> AI Policy</t>
  </si>
  <si>
    <t>Version 4.1.6</t>
  </si>
  <si>
    <t>AISC</t>
  </si>
  <si>
    <t xml:space="preserve"> AI Data Security</t>
  </si>
  <si>
    <t>AIML</t>
  </si>
  <si>
    <t xml:space="preserve"> AI Machine Learning</t>
  </si>
  <si>
    <t>AILM</t>
  </si>
  <si>
    <t xml:space="preserve"> AI Large Language Model (LLM)</t>
  </si>
  <si>
    <t xml:space="preserve">This worksheet is auto-populated with data taken from previous worksheets. </t>
  </si>
  <si>
    <t>ID Code</t>
  </si>
  <si>
    <t>Vendor Response</t>
  </si>
  <si>
    <t>Default Value</t>
  </si>
  <si>
    <t>Compliance Eval</t>
  </si>
  <si>
    <t>Non-negotiable Indicator</t>
  </si>
  <si>
    <t>Critical Indicator</t>
  </si>
  <si>
    <t>Potential Score</t>
  </si>
  <si>
    <t>Actual Score</t>
  </si>
  <si>
    <t>Non-Negotiable Count</t>
  </si>
  <si>
    <t>Non-Negotiable Total</t>
  </si>
  <si>
    <t>Non-Negotiable Location</t>
  </si>
  <si>
    <t>Critical Count</t>
  </si>
  <si>
    <t>Critical Total</t>
  </si>
  <si>
    <t>Critical Location</t>
  </si>
  <si>
    <t xml:space="preserve">End of workbook </t>
  </si>
  <si>
    <t>SmartPLS 4.1.1.9 (SmartPLS Desktop)</t>
  </si>
  <si>
    <t>SmartPLS GmbH does not currently offer a contractual commitment to WCAG 2.1 AA conformance.</t>
  </si>
  <si>
    <t>SmartPLS 4.1.1.9 provides partial conformance with substantial improvements. Core model-building is keyboard accessible; the toolbar is reachable with Tab and Shift+Tab; projects and files open with Enter; and context menus open with the Context Menu key or Shift+F10. Focus is visible on nearly all controls, contrast was reviewed, and zoom behavior was largely improved. Remaining limitations include a model that is not meaningfully accessible to screen readers, status and error messages that are not announced automatically, information conveyed only by color, minor keyboard barriers, and no completed Windows screen-reader testing.</t>
  </si>
  <si>
    <t>A documented support and ticket process is used to report, track, and address accessibility issues.</t>
  </si>
  <si>
    <t>The most recent version, SmartPLS 4.1.1.9, was self-assessed. No independent third-party accessibility audit has been performed.</t>
  </si>
  <si>
    <t>A documented accessibility checklist is applied to every release. It covers keyboard operation, focus visibility, contrast, zoom behavior, and targeted checks of individual controls with VoiceOver.</t>
  </si>
  <si>
    <t>WCAG 2.1 AA is used as guidance, but it has not been formally adopted as a binding technical or legal conformance standard.</t>
  </si>
  <si>
    <t>Internal accessibility planning exists, but there is no current detailed public roadmap with fixed delivery timelines.</t>
  </si>
  <si>
    <t>The team maintains accessibility knowledge through continuous internal engagement, review, and work on the topic.</t>
  </si>
  <si>
    <t>Accessibility is verified through a documented checklist for each release, but it is not yet formally embedded throughout the complete development lifecycle.</t>
  </si>
  <si>
    <t>Most core workflows are now keyboard accessible: users can create complete models through menus or context menus, move constructs with the keyboard, reach the toolbar with Tab and Shift+Tab, open projects and files with Enter, and invoke context menus with the Context Menu key or Shift+F10. Minor barriers remain in tables or editable cells, focus order, and individual rarely used functions; therefore, not all functions are currently reachable using only the keyboard.</t>
  </si>
  <si>
    <t>The VPAT/Accessibility Conformance Report was updated for SmartPLS 4.1.1.9 and is published at https://smartpls.com/accessibility.</t>
  </si>
  <si>
    <t>A short public accessibility guide is available at https://smartpls.com/accessibility. The current VPAT is also available at https://smartpls.com/accessibility.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</si>
</sst>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m/d/yyyy;@"/>
    <numFmt numFmtId="166" formatCode="0.0%"/>
  </numFmts>
  <fonts count="53" x14ac:knownFonts="1">
    <font>
      <sz val="12"/>
      <color rgb="FF000000"/>
      <name val="Verdana"/>
    </font>
    <font>
      <sz val="10"/>
      <color rgb="FF000000"/>
      <name val="Aptos Narrow"/>
      <family val="2"/>
    </font>
    <font>
      <sz val="12"/>
      <color rgb="FF000000"/>
      <name val="Verdana"/>
      <family val="2"/>
    </font>
    <font>
      <sz val="11"/>
      <color rgb="FF000000"/>
      <name val="Verdana"/>
      <family val="2"/>
    </font>
    <font>
      <b/>
      <sz val="11"/>
      <color rgb="FFFF0000"/>
      <name val="Verdana"/>
      <family val="2"/>
    </font>
    <font>
      <sz val="11"/>
      <name val="Verdana"/>
      <family val="2"/>
    </font>
    <font>
      <b/>
      <sz val="20"/>
      <color theme="0"/>
      <name val="Verdana"/>
      <family val="2"/>
    </font>
    <font>
      <b/>
      <sz val="12"/>
      <color theme="0"/>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sz val="12"/>
      <color theme="1"/>
      <name val="Verdana"/>
      <family val="2"/>
    </font>
    <font>
      <u/>
      <sz val="12"/>
      <color theme="10"/>
      <name val="Verdana"/>
      <family val="2"/>
    </font>
    <font>
      <u/>
      <sz val="12"/>
      <color theme="4"/>
      <name val="Verdana"/>
      <family val="2"/>
    </font>
    <font>
      <sz val="11"/>
      <color theme="1"/>
      <name val="Verdana"/>
      <family val="2"/>
    </font>
    <font>
      <i/>
      <sz val="11"/>
      <color theme="1"/>
      <name val="Verdana"/>
      <family val="2"/>
    </font>
    <font>
      <b/>
      <sz val="14"/>
      <name val="Verdana"/>
      <family val="2"/>
    </font>
    <font>
      <sz val="11"/>
      <color rgb="FFBF0000"/>
      <name val="Verdana"/>
      <family val="2"/>
    </font>
    <font>
      <i/>
      <sz val="11"/>
      <name val="Verdana"/>
      <family val="2"/>
    </font>
    <font>
      <sz val="11"/>
      <color theme="0"/>
      <name val="Verdana"/>
      <family val="2"/>
    </font>
    <font>
      <b/>
      <i/>
      <sz val="14"/>
      <color rgb="FFFF0000"/>
      <name val="Verdana"/>
      <family val="2"/>
    </font>
    <font>
      <i/>
      <sz val="11"/>
      <color rgb="FF000000"/>
      <name val="Verdana"/>
      <family val="2"/>
    </font>
    <font>
      <sz val="12"/>
      <color theme="0"/>
      <name val="Verdana"/>
      <family val="2"/>
    </font>
    <font>
      <b/>
      <sz val="20"/>
      <name val="Verdana"/>
      <family val="2"/>
    </font>
    <font>
      <b/>
      <sz val="14"/>
      <color theme="1"/>
      <name val="Verdana"/>
      <family val="2"/>
    </font>
    <font>
      <b/>
      <sz val="11"/>
      <color rgb="FF000000"/>
      <name val="Verdana"/>
      <family val="2"/>
    </font>
    <font>
      <sz val="12"/>
      <color rgb="FFFF0000"/>
      <name val="Verdana"/>
      <family val="2"/>
    </font>
    <font>
      <b/>
      <sz val="12"/>
      <color rgb="FF000000"/>
      <name val="Verdana"/>
      <family val="2"/>
    </font>
    <font>
      <b/>
      <i/>
      <sz val="12"/>
      <color rgb="FF000000"/>
      <name val="Verdana"/>
      <family val="2"/>
    </font>
    <font>
      <b/>
      <sz val="12"/>
      <name val="Verdana"/>
      <family val="2"/>
    </font>
    <font>
      <u/>
      <sz val="12"/>
      <color theme="0" tint="-0.34998626667073579"/>
      <name val="Verdana"/>
      <family val="2"/>
    </font>
    <font>
      <sz val="12"/>
      <color rgb="FFA20000"/>
      <name val="Verdana"/>
      <family val="2"/>
    </font>
    <font>
      <b/>
      <sz val="11"/>
      <color theme="0"/>
      <name val="Verdana"/>
      <family val="2"/>
    </font>
    <font>
      <sz val="12"/>
      <color rgb="FFC00000"/>
      <name val="Verdana"/>
      <family val="2"/>
    </font>
    <font>
      <b/>
      <sz val="14"/>
      <color rgb="FFC00000"/>
      <name val="Verdana"/>
      <family val="2"/>
    </font>
    <font>
      <u/>
      <sz val="12"/>
      <color rgb="FFC00000"/>
      <name val="Verdana"/>
      <family val="2"/>
    </font>
    <font>
      <b/>
      <sz val="14"/>
      <color rgb="FF000000"/>
      <name val="Verdana"/>
      <family val="2"/>
    </font>
    <font>
      <b/>
      <sz val="11"/>
      <name val="Verdana"/>
      <family val="2"/>
    </font>
    <font>
      <sz val="12"/>
      <name val="Verdana"/>
      <family val="2"/>
    </font>
    <font>
      <u/>
      <sz val="12"/>
      <color theme="0"/>
      <name val="Verdana"/>
      <family val="2"/>
    </font>
    <font>
      <b/>
      <i/>
      <sz val="11"/>
      <color theme="1"/>
      <name val="Verdana"/>
      <family val="2"/>
    </font>
    <font>
      <sz val="10"/>
      <color theme="0"/>
      <name val="Aptos Narrow"/>
      <family val="2"/>
    </font>
    <font>
      <b/>
      <sz val="11"/>
      <color rgb="FF000000"/>
      <name val="Arial"/>
      <family val="2"/>
    </font>
    <font>
      <sz val="11"/>
      <color rgb="FF000000"/>
      <name val="Arial"/>
      <family val="2"/>
    </font>
    <font>
      <sz val="11"/>
      <color theme="1"/>
      <name val="Arial"/>
      <family val="2"/>
    </font>
    <font>
      <sz val="10"/>
      <color rgb="FF000000"/>
      <name val="Arial"/>
      <family val="2"/>
    </font>
    <font>
      <sz val="11"/>
      <color rgb="FF1A1A1A"/>
      <name val="Arial"/>
      <family val="2"/>
    </font>
    <font>
      <b/>
      <sz val="10"/>
      <color theme="1"/>
      <name val="Aptos Narrow"/>
      <family val="2"/>
    </font>
    <font>
      <b/>
      <sz val="10"/>
      <color rgb="FF000000"/>
      <name val="Aptos Narrow"/>
      <family val="2"/>
    </font>
    <font>
      <sz val="10"/>
      <color theme="1"/>
      <name val="Aptos Narrow"/>
      <family val="2"/>
    </font>
    <font>
      <b/>
      <i/>
      <sz val="10"/>
      <color rgb="FF000000"/>
      <name val="Aptos Narrow"/>
      <family val="2"/>
    </font>
    <font>
      <sz val="10"/>
      <name val="Aptos Narrow"/>
      <family val="2"/>
    </font>
  </fonts>
  <fills count="23">
    <fill>
      <patternFill patternType="none"/>
    </fill>
    <fill>
      <patternFill patternType="gray125"/>
    </fill>
    <fill>
      <patternFill patternType="solid">
        <fgColor rgb="FF00636C"/>
      </patternFill>
    </fill>
    <fill>
      <patternFill patternType="solid">
        <fgColor theme="0" tint="-4.9989318521683403E-2"/>
        <bgColor indexed="65"/>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rgb="FFE0B233"/>
      </patternFill>
    </fill>
    <fill>
      <patternFill patternType="solid">
        <fgColor rgb="FFFDEEC5"/>
      </patternFill>
    </fill>
    <fill>
      <patternFill patternType="solid">
        <fgColor rgb="FF4C6BB3"/>
      </patternFill>
    </fill>
    <fill>
      <patternFill patternType="solid">
        <fgColor rgb="FFD0DAF0"/>
      </patternFill>
    </fill>
    <fill>
      <patternFill patternType="solid">
        <fgColor rgb="FFBF0000"/>
      </patternFill>
    </fill>
    <fill>
      <patternFill patternType="solid">
        <fgColor rgb="FF7ECCA0"/>
      </patternFill>
    </fill>
    <fill>
      <patternFill patternType="solid">
        <fgColor theme="2" tint="-9.9978637043366805E-2"/>
        <bgColor indexed="65"/>
      </patternFill>
    </fill>
    <fill>
      <patternFill patternType="solid">
        <fgColor rgb="FFD9EAD3"/>
      </patternFill>
    </fill>
    <fill>
      <patternFill patternType="solid">
        <fgColor theme="7" tint="0.79985961485641044"/>
        <bgColor indexed="65"/>
      </patternFill>
    </fill>
    <fill>
      <patternFill patternType="solid">
        <fgColor rgb="FFE6B8AF"/>
      </patternFill>
    </fill>
    <fill>
      <patternFill patternType="solid">
        <fgColor rgb="FFB7E1CD"/>
      </patternFill>
    </fill>
    <fill>
      <patternFill patternType="solid">
        <fgColor rgb="FFD9D2E9"/>
      </patternFill>
    </fill>
    <fill>
      <patternFill patternType="solid">
        <fgColor theme="5" tint="0.79985961485641044"/>
        <bgColor indexed="65"/>
      </patternFill>
    </fill>
    <fill>
      <patternFill patternType="solid">
        <fgColor theme="5" tint="0.39985351115451523"/>
        <bgColor indexed="65"/>
      </patternFill>
    </fill>
    <fill>
      <patternFill patternType="solid">
        <fgColor theme="3" tint="0.74983977782525102"/>
        <bgColor indexed="65"/>
      </patternFill>
    </fill>
    <fill>
      <patternFill patternType="solid">
        <fgColor theme="8" tint="0.79985961485641044"/>
        <bgColor indexed="65"/>
      </patternFill>
    </fill>
  </fills>
  <borders count="5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style="medium">
        <color auto="1"/>
      </right>
      <top/>
      <bottom style="medium">
        <color auto="1"/>
      </bottom>
      <diagonal/>
    </border>
    <border>
      <left style="thin">
        <color auto="1"/>
      </left>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thin">
        <color auto="1"/>
      </right>
      <top style="thin">
        <color auto="1"/>
      </top>
      <bottom style="thin">
        <color auto="1"/>
      </bottom>
      <diagonal/>
    </border>
    <border>
      <left style="thin">
        <color auto="1"/>
      </left>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diagonal/>
    </border>
    <border>
      <left/>
      <right/>
      <top style="thin">
        <color auto="1"/>
      </top>
      <bottom style="medium">
        <color auto="1"/>
      </bottom>
      <diagonal/>
    </border>
    <border>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right/>
      <top/>
      <bottom style="thin">
        <color auto="1"/>
      </bottom>
      <diagonal/>
    </border>
    <border>
      <left/>
      <right style="medium">
        <color auto="1"/>
      </right>
      <top/>
      <bottom style="thin">
        <color auto="1"/>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thin">
        <color auto="1"/>
      </right>
      <top/>
      <bottom/>
      <diagonal/>
    </border>
    <border>
      <left style="thin">
        <color auto="1"/>
      </left>
      <right style="thin">
        <color auto="1"/>
      </right>
      <top/>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style="medium">
        <color auto="1"/>
      </right>
      <top style="medium">
        <color auto="1"/>
      </top>
      <bottom/>
      <diagonal/>
    </border>
  </borders>
  <cellStyleXfs count="4">
    <xf numFmtId="0" fontId="0" fillId="0" borderId="0">
      <alignment vertical="top" wrapText="1"/>
    </xf>
    <xf numFmtId="0" fontId="13" fillId="0" borderId="0">
      <alignment vertical="top" wrapText="1"/>
    </xf>
    <xf numFmtId="0" fontId="1" fillId="0" borderId="0"/>
    <xf numFmtId="0" fontId="2" fillId="0" borderId="0">
      <alignment vertical="top" wrapText="1"/>
    </xf>
  </cellStyleXfs>
  <cellXfs count="322">
    <xf numFmtId="0" fontId="0" fillId="0" borderId="0" xfId="0">
      <alignment vertical="top" wrapText="1"/>
    </xf>
    <xf numFmtId="0" fontId="27" fillId="0" borderId="0" xfId="3" applyFont="1" applyAlignment="1">
      <alignment horizontal="center" vertical="center" wrapText="1"/>
    </xf>
    <xf numFmtId="0" fontId="0" fillId="0" borderId="0" xfId="0" applyAlignment="1"/>
    <xf numFmtId="0" fontId="3" fillId="0" borderId="0" xfId="0" applyFont="1" applyAlignment="1"/>
    <xf numFmtId="0" fontId="3" fillId="0" borderId="0" xfId="0" applyFont="1" applyAlignment="1">
      <alignment horizontal="center" vertical="center"/>
    </xf>
    <xf numFmtId="0" fontId="3" fillId="0" borderId="0" xfId="0" applyFont="1" applyAlignment="1">
      <alignment wrapText="1"/>
    </xf>
    <xf numFmtId="0" fontId="4" fillId="0" borderId="0" xfId="0" applyFont="1" applyAlignment="1">
      <alignment wrapText="1"/>
    </xf>
    <xf numFmtId="0" fontId="5" fillId="0" borderId="0" xfId="0" applyFont="1" applyAlignment="1"/>
    <xf numFmtId="0" fontId="6" fillId="2" borderId="0" xfId="0" applyFont="1" applyFill="1" applyAlignment="1">
      <alignment vertical="center"/>
    </xf>
    <xf numFmtId="0" fontId="6" fillId="2" borderId="0" xfId="0" applyFont="1" applyFill="1" applyAlignment="1">
      <alignment horizontal="center" vertical="center"/>
    </xf>
    <xf numFmtId="0" fontId="6" fillId="2" borderId="0" xfId="0" applyFont="1" applyFill="1" applyAlignment="1">
      <alignment vertical="center" wrapText="1"/>
    </xf>
    <xf numFmtId="0" fontId="7" fillId="2" borderId="0" xfId="0" applyFont="1" applyFill="1" applyAlignment="1">
      <alignment horizontal="center" vertical="center" wrapText="1"/>
    </xf>
    <xf numFmtId="0" fontId="8" fillId="3" borderId="1" xfId="0" applyFont="1" applyFill="1" applyBorder="1" applyAlignment="1">
      <alignment vertical="center"/>
    </xf>
    <xf numFmtId="164" fontId="8" fillId="3" borderId="2" xfId="0" applyNumberFormat="1" applyFont="1" applyFill="1" applyBorder="1" applyAlignment="1">
      <alignment vertical="center"/>
    </xf>
    <xf numFmtId="165" fontId="9" fillId="4" borderId="1" xfId="0" applyNumberFormat="1" applyFont="1" applyFill="1" applyBorder="1" applyAlignment="1">
      <alignment horizontal="left" vertical="center"/>
    </xf>
    <xf numFmtId="165" fontId="9" fillId="4" borderId="3" xfId="0" applyNumberFormat="1" applyFont="1" applyFill="1" applyBorder="1" applyAlignment="1">
      <alignment horizontal="left" vertical="center" wrapText="1"/>
    </xf>
    <xf numFmtId="165" fontId="9" fillId="4" borderId="3" xfId="0" applyNumberFormat="1" applyFont="1" applyFill="1" applyBorder="1" applyAlignment="1">
      <alignment horizontal="left" vertical="center"/>
    </xf>
    <xf numFmtId="0" fontId="3" fillId="0" borderId="2" xfId="0" applyFont="1" applyBorder="1" applyAlignment="1"/>
    <xf numFmtId="0" fontId="10" fillId="5" borderId="4" xfId="0" applyFont="1" applyFill="1" applyBorder="1" applyAlignment="1">
      <alignment vertical="center"/>
    </xf>
    <xf numFmtId="0" fontId="10" fillId="5" borderId="5" xfId="0" applyFont="1" applyFill="1" applyBorder="1" applyAlignment="1">
      <alignment vertical="center"/>
    </xf>
    <xf numFmtId="0" fontId="10" fillId="5" borderId="4" xfId="0" applyFont="1" applyFill="1" applyBorder="1" applyAlignment="1">
      <alignment horizontal="center" vertical="center" wrapText="1"/>
    </xf>
    <xf numFmtId="1" fontId="10" fillId="5" borderId="4" xfId="0" applyNumberFormat="1" applyFont="1" applyFill="1" applyBorder="1" applyAlignment="1">
      <alignment horizontal="left" vertical="center" wrapText="1"/>
    </xf>
    <xf numFmtId="1" fontId="11" fillId="5" borderId="4" xfId="0" applyNumberFormat="1" applyFont="1" applyFill="1" applyBorder="1" applyAlignment="1">
      <alignment horizontal="left" vertical="center" wrapText="1"/>
    </xf>
    <xf numFmtId="0" fontId="8" fillId="6" borderId="0" xfId="0" applyFont="1" applyFill="1" applyAlignment="1">
      <alignment vertical="center"/>
    </xf>
    <xf numFmtId="0" fontId="12" fillId="6" borderId="0" xfId="0" applyFont="1" applyFill="1" applyAlignment="1">
      <alignment vertical="center"/>
    </xf>
    <xf numFmtId="0" fontId="12" fillId="6" borderId="0" xfId="0" applyFont="1" applyFill="1" applyAlignment="1">
      <alignment horizontal="center" vertical="center"/>
    </xf>
    <xf numFmtId="0" fontId="12" fillId="6" borderId="0" xfId="0" applyFont="1" applyFill="1" applyAlignment="1">
      <alignment vertical="center" wrapText="1"/>
    </xf>
    <xf numFmtId="0" fontId="12" fillId="6" borderId="6" xfId="0" applyFont="1" applyFill="1" applyBorder="1" applyAlignment="1">
      <alignment vertical="center"/>
    </xf>
    <xf numFmtId="0" fontId="12" fillId="6" borderId="7" xfId="0" applyFont="1" applyFill="1" applyBorder="1" applyAlignment="1">
      <alignment vertical="center"/>
    </xf>
    <xf numFmtId="0" fontId="9" fillId="6" borderId="0" xfId="0" applyFont="1" applyFill="1" applyAlignment="1">
      <alignment vertical="center"/>
    </xf>
    <xf numFmtId="0" fontId="14" fillId="6" borderId="0" xfId="1" applyFont="1" applyFill="1" applyAlignment="1">
      <alignment vertical="center"/>
    </xf>
    <xf numFmtId="0" fontId="12" fillId="6" borderId="8" xfId="0" applyFont="1" applyFill="1" applyBorder="1" applyAlignment="1">
      <alignment vertical="center"/>
    </xf>
    <xf numFmtId="0" fontId="10" fillId="5" borderId="5" xfId="3" applyFont="1" applyFill="1" applyBorder="1" applyAlignment="1">
      <alignment vertical="center"/>
    </xf>
    <xf numFmtId="0" fontId="10" fillId="5" borderId="5" xfId="0" applyFont="1" applyFill="1" applyBorder="1" applyAlignment="1">
      <alignment horizontal="center" vertical="center"/>
    </xf>
    <xf numFmtId="0" fontId="10" fillId="5" borderId="5" xfId="0" applyFont="1" applyFill="1" applyBorder="1" applyAlignment="1">
      <alignment horizontal="center" vertical="center" wrapText="1"/>
    </xf>
    <xf numFmtId="1" fontId="11" fillId="5" borderId="5" xfId="0" applyNumberFormat="1" applyFont="1" applyFill="1" applyBorder="1" applyAlignment="1">
      <alignment horizontal="left" vertical="center" wrapText="1"/>
    </xf>
    <xf numFmtId="0" fontId="3" fillId="3" borderId="5" xfId="0" applyFont="1" applyFill="1" applyBorder="1" applyAlignment="1">
      <alignment vertical="center" wrapText="1"/>
    </xf>
    <xf numFmtId="0" fontId="15" fillId="3" borderId="5" xfId="0" applyFont="1" applyFill="1" applyBorder="1" applyAlignment="1">
      <alignment horizontal="left" vertical="center" wrapText="1"/>
    </xf>
    <xf numFmtId="0" fontId="16" fillId="0" borderId="1" xfId="0" applyFont="1" applyBorder="1" applyAlignment="1">
      <alignment horizontal="left" vertical="center"/>
    </xf>
    <xf numFmtId="0" fontId="16" fillId="0" borderId="3" xfId="0" applyFont="1" applyBorder="1" applyAlignment="1">
      <alignment vertical="center" wrapText="1"/>
    </xf>
    <xf numFmtId="0" fontId="16" fillId="0" borderId="3" xfId="0" applyFont="1" applyBorder="1" applyAlignment="1">
      <alignment vertical="center"/>
    </xf>
    <xf numFmtId="0" fontId="10" fillId="5" borderId="2" xfId="0" applyFont="1" applyFill="1" applyBorder="1" applyAlignment="1">
      <alignment vertical="center"/>
    </xf>
    <xf numFmtId="0" fontId="10" fillId="5" borderId="4" xfId="0" applyFont="1" applyFill="1" applyBorder="1" applyAlignment="1">
      <alignment horizontal="center" vertical="center"/>
    </xf>
    <xf numFmtId="0" fontId="17" fillId="7" borderId="9" xfId="0" applyFont="1" applyFill="1" applyBorder="1" applyAlignment="1">
      <alignment horizontal="center" vertical="center" wrapText="1"/>
    </xf>
    <xf numFmtId="0" fontId="15" fillId="3" borderId="10" xfId="0" applyFont="1" applyFill="1" applyBorder="1" applyAlignment="1">
      <alignment horizontal="left" vertical="center" wrapText="1"/>
    </xf>
    <xf numFmtId="0" fontId="15" fillId="4" borderId="5" xfId="0" applyFont="1" applyFill="1" applyBorder="1" applyAlignment="1">
      <alignment horizontal="center" vertical="center" wrapText="1"/>
    </xf>
    <xf numFmtId="0" fontId="5" fillId="0" borderId="2" xfId="0" applyFont="1" applyBorder="1" applyAlignment="1">
      <alignment vertical="center" wrapText="1"/>
    </xf>
    <xf numFmtId="1" fontId="18" fillId="3" borderId="10" xfId="0" applyNumberFormat="1" applyFont="1" applyFill="1" applyBorder="1" applyAlignment="1">
      <alignment vertical="center" wrapText="1"/>
    </xf>
    <xf numFmtId="0" fontId="2" fillId="8" borderId="11" xfId="0" applyFont="1" applyFill="1" applyBorder="1">
      <alignment vertical="top" wrapText="1"/>
    </xf>
    <xf numFmtId="0" fontId="16" fillId="0" borderId="1" xfId="0" applyFont="1" applyBorder="1" applyAlignment="1">
      <alignment horizontal="center" vertical="center" wrapText="1"/>
    </xf>
    <xf numFmtId="0" fontId="19" fillId="0" borderId="2" xfId="0" applyFont="1" applyBorder="1" applyAlignment="1">
      <alignment vertical="center" wrapText="1"/>
    </xf>
    <xf numFmtId="0" fontId="16" fillId="0" borderId="1" xfId="0" applyFont="1" applyBorder="1" applyAlignment="1">
      <alignment horizontal="left" vertical="center" wrapText="1"/>
    </xf>
    <xf numFmtId="0" fontId="20" fillId="4" borderId="0" xfId="0" applyFont="1" applyFill="1" applyAlignment="1">
      <alignment shrinkToFit="1"/>
    </xf>
    <xf numFmtId="0" fontId="17" fillId="7" borderId="12" xfId="0" applyFont="1" applyFill="1" applyBorder="1" applyAlignment="1">
      <alignment horizontal="center" vertical="center" wrapText="1"/>
    </xf>
    <xf numFmtId="0" fontId="5" fillId="4" borderId="5" xfId="0" applyFont="1" applyFill="1" applyBorder="1" applyAlignment="1">
      <alignment vertical="center" wrapText="1"/>
    </xf>
    <xf numFmtId="0" fontId="3" fillId="3" borderId="2" xfId="0" applyFont="1" applyFill="1" applyBorder="1" applyAlignment="1">
      <alignment vertical="center" wrapText="1"/>
    </xf>
    <xf numFmtId="0" fontId="21" fillId="0" borderId="0" xfId="0" applyFont="1" applyAlignment="1">
      <alignment vertical="center"/>
    </xf>
    <xf numFmtId="0" fontId="15" fillId="0" borderId="0" xfId="0" applyFont="1" applyAlignment="1">
      <alignment horizontal="left" vertical="center" wrapText="1"/>
    </xf>
    <xf numFmtId="0" fontId="15" fillId="0" borderId="0" xfId="0" applyFont="1" applyAlignment="1">
      <alignment horizontal="center" vertical="center" wrapText="1"/>
    </xf>
    <xf numFmtId="0" fontId="5" fillId="0" borderId="0" xfId="0" applyFont="1" applyAlignment="1">
      <alignment vertical="center" wrapText="1"/>
    </xf>
    <xf numFmtId="1" fontId="18" fillId="0" borderId="0" xfId="0" applyNumberFormat="1" applyFont="1" applyAlignment="1">
      <alignment vertical="center" wrapText="1"/>
    </xf>
    <xf numFmtId="0" fontId="2" fillId="0" borderId="0" xfId="0" applyFont="1">
      <alignment vertical="top" wrapText="1"/>
    </xf>
    <xf numFmtId="0" fontId="20" fillId="0" borderId="0" xfId="0" applyFont="1" applyAlignment="1">
      <alignment shrinkToFit="1"/>
    </xf>
    <xf numFmtId="0" fontId="3" fillId="0" borderId="0" xfId="0" applyFont="1" applyAlignment="1">
      <alignment vertical="center"/>
    </xf>
    <xf numFmtId="165" fontId="9" fillId="4" borderId="1" xfId="0" applyNumberFormat="1" applyFont="1" applyFill="1" applyBorder="1" applyAlignment="1">
      <alignment horizontal="center" vertical="center"/>
    </xf>
    <xf numFmtId="0" fontId="9" fillId="6" borderId="0" xfId="0" applyFont="1" applyFill="1" applyAlignment="1">
      <alignment horizontal="center" vertical="center"/>
    </xf>
    <xf numFmtId="0" fontId="9" fillId="6" borderId="0" xfId="0" applyFont="1" applyFill="1" applyAlignment="1">
      <alignment vertical="center" wrapText="1"/>
    </xf>
    <xf numFmtId="0" fontId="9" fillId="6" borderId="8" xfId="0" applyFont="1" applyFill="1" applyBorder="1" applyAlignment="1">
      <alignment vertical="center"/>
    </xf>
    <xf numFmtId="0" fontId="22" fillId="0" borderId="0" xfId="0" applyFont="1" applyAlignment="1"/>
    <xf numFmtId="0" fontId="19" fillId="0" borderId="0" xfId="0" applyFont="1" applyAlignment="1"/>
    <xf numFmtId="0" fontId="2" fillId="0" borderId="5" xfId="0" applyFont="1" applyBorder="1" applyAlignment="1">
      <alignment vertical="center" wrapText="1"/>
    </xf>
    <xf numFmtId="0" fontId="16" fillId="0" borderId="2" xfId="0" applyFont="1" applyBorder="1" applyAlignment="1">
      <alignment vertical="center" wrapText="1"/>
    </xf>
    <xf numFmtId="0" fontId="16" fillId="0" borderId="0" xfId="0" applyFont="1" applyAlignment="1">
      <alignment vertical="center" wrapText="1"/>
    </xf>
    <xf numFmtId="0" fontId="3" fillId="0" borderId="0" xfId="0" applyFont="1" applyAlignment="1">
      <alignment vertical="top"/>
    </xf>
    <xf numFmtId="0" fontId="5" fillId="0" borderId="1" xfId="0" applyFont="1" applyBorder="1" applyAlignment="1">
      <alignment horizontal="center" vertical="center"/>
    </xf>
    <xf numFmtId="0" fontId="5" fillId="0" borderId="1" xfId="0" applyFont="1" applyBorder="1" applyAlignment="1">
      <alignment vertical="center" wrapText="1"/>
    </xf>
    <xf numFmtId="0" fontId="16" fillId="4" borderId="1" xfId="0" applyFont="1" applyFill="1" applyBorder="1" applyAlignment="1">
      <alignment horizontal="center" vertical="center" wrapText="1"/>
    </xf>
    <xf numFmtId="0" fontId="3" fillId="0" borderId="0" xfId="0" applyFont="1" applyAlignment="1">
      <alignment horizontal="center" wrapText="1"/>
    </xf>
    <xf numFmtId="0" fontId="15" fillId="0" borderId="1" xfId="0" applyFont="1" applyBorder="1" applyAlignment="1">
      <alignment horizontal="center" vertical="center"/>
    </xf>
    <xf numFmtId="0" fontId="15" fillId="0" borderId="1" xfId="0" applyFont="1" applyBorder="1" applyAlignment="1">
      <alignment vertical="center" wrapText="1"/>
    </xf>
    <xf numFmtId="0" fontId="15" fillId="0" borderId="5" xfId="0" applyFont="1" applyBorder="1" applyAlignment="1">
      <alignment vertical="center" wrapText="1"/>
    </xf>
    <xf numFmtId="0" fontId="15" fillId="0" borderId="2" xfId="0" applyFont="1" applyBorder="1" applyAlignment="1">
      <alignment vertical="center" wrapText="1"/>
    </xf>
    <xf numFmtId="0" fontId="15" fillId="0" borderId="5" xfId="0" applyFont="1" applyBorder="1" applyAlignment="1">
      <alignment horizontal="center" vertical="center"/>
    </xf>
    <xf numFmtId="0" fontId="19" fillId="0" borderId="1" xfId="0" applyFont="1" applyBorder="1" applyAlignment="1">
      <alignment horizontal="left" vertical="center" wrapText="1"/>
    </xf>
    <xf numFmtId="0" fontId="15" fillId="0" borderId="0" xfId="0" applyFont="1" applyAlignment="1">
      <alignment vertical="center" wrapText="1"/>
    </xf>
    <xf numFmtId="0" fontId="5" fillId="0" borderId="1" xfId="0" applyFont="1" applyBorder="1" applyAlignment="1">
      <alignment horizontal="left" vertical="center"/>
    </xf>
    <xf numFmtId="0" fontId="16" fillId="0" borderId="5" xfId="0" applyFont="1" applyBorder="1" applyAlignment="1">
      <alignment vertical="center" wrapText="1"/>
    </xf>
    <xf numFmtId="0" fontId="3" fillId="0" borderId="7" xfId="0" applyFont="1" applyBorder="1" applyAlignment="1"/>
    <xf numFmtId="0" fontId="7" fillId="2" borderId="7" xfId="0" applyFont="1" applyFill="1" applyBorder="1" applyAlignment="1">
      <alignment horizontal="center" vertical="center" wrapText="1"/>
    </xf>
    <xf numFmtId="0" fontId="17" fillId="7" borderId="13" xfId="0" applyFont="1" applyFill="1" applyBorder="1" applyAlignment="1">
      <alignment horizontal="center" vertical="center" wrapText="1"/>
    </xf>
    <xf numFmtId="0" fontId="23" fillId="0" borderId="0" xfId="0" applyFont="1" applyAlignment="1">
      <alignment vertical="top" shrinkToFit="1"/>
    </xf>
    <xf numFmtId="0" fontId="4" fillId="0" borderId="0" xfId="0" applyFont="1" applyAlignment="1">
      <alignment vertical="center" wrapText="1"/>
    </xf>
    <xf numFmtId="0" fontId="3" fillId="0" borderId="7" xfId="0" applyFont="1" applyBorder="1" applyAlignment="1">
      <alignment vertical="center"/>
    </xf>
    <xf numFmtId="164" fontId="8" fillId="3" borderId="3" xfId="0" applyNumberFormat="1" applyFont="1" applyFill="1" applyBorder="1" applyAlignment="1">
      <alignment vertical="center"/>
    </xf>
    <xf numFmtId="0" fontId="10" fillId="5" borderId="14" xfId="0" applyFont="1" applyFill="1" applyBorder="1" applyAlignment="1">
      <alignment horizontal="center" vertical="center" wrapText="1"/>
    </xf>
    <xf numFmtId="1" fontId="11" fillId="5" borderId="14" xfId="0" applyNumberFormat="1" applyFont="1" applyFill="1" applyBorder="1" applyAlignment="1">
      <alignment horizontal="left" vertical="center" wrapText="1"/>
    </xf>
    <xf numFmtId="0" fontId="15" fillId="3" borderId="1" xfId="0" applyFont="1" applyFill="1" applyBorder="1" applyAlignment="1">
      <alignment horizontal="left" vertical="center" wrapText="1"/>
    </xf>
    <xf numFmtId="0" fontId="17" fillId="7" borderId="15" xfId="0" applyFont="1" applyFill="1" applyBorder="1" applyAlignment="1">
      <alignment horizontal="center" vertical="center" wrapText="1"/>
    </xf>
    <xf numFmtId="0" fontId="2" fillId="8" borderId="16" xfId="0" applyFont="1" applyFill="1" applyBorder="1" applyAlignment="1">
      <alignment vertical="center" wrapText="1"/>
    </xf>
    <xf numFmtId="0" fontId="16" fillId="0" borderId="1" xfId="0" applyFont="1" applyBorder="1" applyAlignment="1">
      <alignment vertical="center" wrapText="1"/>
    </xf>
    <xf numFmtId="0" fontId="2" fillId="0" borderId="0" xfId="3">
      <alignment vertical="top" wrapText="1"/>
    </xf>
    <xf numFmtId="0" fontId="24" fillId="7" borderId="0" xfId="3" applyFont="1" applyFill="1" applyAlignment="1">
      <alignment horizontal="left" vertical="center"/>
    </xf>
    <xf numFmtId="0" fontId="6" fillId="7" borderId="0" xfId="3" applyFont="1" applyFill="1" applyAlignment="1">
      <alignment horizontal="left" vertical="center"/>
    </xf>
    <xf numFmtId="0" fontId="8" fillId="7" borderId="0" xfId="3" applyFont="1" applyFill="1" applyAlignment="1">
      <alignment horizontal="center" vertical="center" wrapText="1"/>
    </xf>
    <xf numFmtId="0" fontId="7" fillId="7" borderId="0" xfId="3" applyFont="1" applyFill="1" applyAlignment="1">
      <alignment horizontal="center" vertical="center" wrapText="1"/>
    </xf>
    <xf numFmtId="0" fontId="25" fillId="3" borderId="0" xfId="3" applyFont="1" applyFill="1" applyAlignment="1">
      <alignment horizontal="left" vertical="center"/>
    </xf>
    <xf numFmtId="0" fontId="10" fillId="5" borderId="17" xfId="3" applyFont="1" applyFill="1" applyBorder="1" applyAlignment="1">
      <alignment horizontal="left" vertical="center"/>
    </xf>
    <xf numFmtId="0" fontId="10" fillId="5" borderId="0" xfId="3" applyFont="1" applyFill="1" applyAlignment="1">
      <alignment horizontal="left" vertical="center"/>
    </xf>
    <xf numFmtId="0" fontId="12" fillId="6" borderId="0" xfId="3" applyFont="1" applyFill="1" applyAlignment="1">
      <alignment horizontal="left" vertical="center"/>
    </xf>
    <xf numFmtId="0" fontId="2" fillId="0" borderId="0" xfId="3" applyAlignment="1">
      <alignment vertical="top"/>
    </xf>
    <xf numFmtId="0" fontId="14" fillId="6" borderId="0" xfId="1" applyFont="1" applyFill="1" applyAlignment="1">
      <alignment horizontal="left" vertical="center"/>
    </xf>
    <xf numFmtId="0" fontId="12" fillId="6" borderId="0" xfId="3" applyFont="1" applyFill="1" applyAlignment="1">
      <alignment horizontal="left" vertical="center" wrapText="1"/>
    </xf>
    <xf numFmtId="0" fontId="26" fillId="3" borderId="18" xfId="3" applyFont="1" applyFill="1" applyBorder="1" applyAlignment="1">
      <alignment vertical="center"/>
    </xf>
    <xf numFmtId="0" fontId="26" fillId="3" borderId="19" xfId="3" applyFont="1" applyFill="1" applyBorder="1" applyAlignment="1">
      <alignment vertical="center" wrapText="1"/>
    </xf>
    <xf numFmtId="0" fontId="3" fillId="0" borderId="20" xfId="3" applyFont="1" applyBorder="1" applyAlignment="1">
      <alignment horizontal="left" vertical="center"/>
    </xf>
    <xf numFmtId="0" fontId="3" fillId="0" borderId="21" xfId="3" applyFont="1" applyBorder="1" applyAlignment="1">
      <alignment horizontal="left" vertical="center"/>
    </xf>
    <xf numFmtId="0" fontId="26" fillId="0" borderId="19" xfId="3" applyFont="1" applyBorder="1" applyAlignment="1">
      <alignment vertical="center" wrapText="1"/>
    </xf>
    <xf numFmtId="0" fontId="26" fillId="0" borderId="17" xfId="3" applyFont="1" applyBorder="1" applyAlignment="1">
      <alignment vertical="center" wrapText="1"/>
    </xf>
    <xf numFmtId="0" fontId="26" fillId="0" borderId="0" xfId="3" applyFont="1" applyAlignment="1">
      <alignment vertical="center" wrapText="1"/>
    </xf>
    <xf numFmtId="0" fontId="3" fillId="0" borderId="0" xfId="3" applyFont="1" applyAlignment="1">
      <alignment horizontal="left" vertical="center"/>
    </xf>
    <xf numFmtId="0" fontId="3" fillId="0" borderId="0" xfId="3" applyFont="1" applyAlignment="1">
      <alignment vertical="center" wrapText="1"/>
    </xf>
    <xf numFmtId="0" fontId="26" fillId="3" borderId="22" xfId="3" applyFont="1" applyFill="1" applyBorder="1" applyAlignment="1">
      <alignment vertical="center"/>
    </xf>
    <xf numFmtId="0" fontId="26" fillId="3" borderId="2" xfId="3" applyFont="1" applyFill="1" applyBorder="1" applyAlignment="1">
      <alignment vertical="center" wrapText="1"/>
    </xf>
    <xf numFmtId="0" fontId="3" fillId="0" borderId="1" xfId="3" applyFont="1" applyBorder="1" applyAlignment="1">
      <alignment horizontal="left" vertical="center"/>
    </xf>
    <xf numFmtId="0" fontId="3" fillId="0" borderId="3" xfId="3" applyFont="1" applyBorder="1" applyAlignment="1">
      <alignment horizontal="left" vertical="center"/>
    </xf>
    <xf numFmtId="0" fontId="26" fillId="0" borderId="2" xfId="3" applyFont="1" applyBorder="1" applyAlignment="1">
      <alignment vertical="center" wrapText="1"/>
    </xf>
    <xf numFmtId="0" fontId="20" fillId="0" borderId="17" xfId="3" applyFont="1" applyBorder="1" applyAlignment="1">
      <alignment vertical="center" shrinkToFit="1"/>
    </xf>
    <xf numFmtId="0" fontId="26" fillId="3" borderId="23" xfId="3" applyFont="1" applyFill="1" applyBorder="1" applyAlignment="1">
      <alignment vertical="center"/>
    </xf>
    <xf numFmtId="0" fontId="26" fillId="3" borderId="24" xfId="3" applyFont="1" applyFill="1" applyBorder="1" applyAlignment="1">
      <alignment vertical="center" wrapText="1"/>
    </xf>
    <xf numFmtId="165" fontId="9" fillId="4" borderId="25" xfId="0" applyNumberFormat="1" applyFont="1" applyFill="1" applyBorder="1" applyAlignment="1">
      <alignment horizontal="left" vertical="center"/>
    </xf>
    <xf numFmtId="0" fontId="3" fillId="0" borderId="26" xfId="3" applyFont="1" applyBorder="1" applyAlignment="1">
      <alignment horizontal="left" vertical="center"/>
    </xf>
    <xf numFmtId="0" fontId="26" fillId="0" borderId="24" xfId="3" applyFont="1" applyBorder="1" applyAlignment="1">
      <alignment vertical="center" wrapText="1"/>
    </xf>
    <xf numFmtId="0" fontId="3" fillId="0" borderId="27" xfId="3" applyFont="1" applyBorder="1" applyAlignment="1">
      <alignment horizontal="left" vertical="center" wrapText="1"/>
    </xf>
    <xf numFmtId="0" fontId="3" fillId="0" borderId="0" xfId="3" applyFont="1" applyAlignment="1">
      <alignment horizontal="left" vertical="center" wrapText="1"/>
    </xf>
    <xf numFmtId="0" fontId="27" fillId="0" borderId="0" xfId="3" applyFont="1" applyAlignment="1">
      <alignment vertical="center" wrapText="1"/>
    </xf>
    <xf numFmtId="0" fontId="23" fillId="0" borderId="0" xfId="3" applyFont="1">
      <alignment vertical="top" wrapText="1"/>
    </xf>
    <xf numFmtId="0" fontId="26" fillId="3" borderId="13" xfId="3" applyFont="1" applyFill="1" applyBorder="1" applyAlignment="1">
      <alignment horizontal="center" vertical="center" wrapText="1"/>
    </xf>
    <xf numFmtId="0" fontId="26" fillId="3" borderId="28" xfId="3" applyFont="1" applyFill="1" applyBorder="1" applyAlignment="1">
      <alignment horizontal="center" vertical="center" wrapText="1"/>
    </xf>
    <xf numFmtId="0" fontId="26" fillId="3" borderId="29" xfId="3" applyFont="1" applyFill="1" applyBorder="1" applyAlignment="1">
      <alignment horizontal="center" vertical="center" wrapText="1"/>
    </xf>
    <xf numFmtId="0" fontId="26" fillId="3" borderId="30" xfId="3" applyFont="1" applyFill="1" applyBorder="1" applyAlignment="1">
      <alignment horizontal="center" vertical="center" wrapText="1"/>
    </xf>
    <xf numFmtId="0" fontId="26" fillId="3" borderId="31" xfId="3" applyFont="1" applyFill="1" applyBorder="1" applyAlignment="1">
      <alignment horizontal="center" vertical="center" wrapText="1"/>
    </xf>
    <xf numFmtId="0" fontId="26" fillId="3" borderId="32" xfId="3" applyFont="1" applyFill="1" applyBorder="1" applyAlignment="1">
      <alignment horizontal="center" vertical="center" wrapText="1"/>
    </xf>
    <xf numFmtId="0" fontId="26" fillId="3" borderId="33" xfId="3" applyFont="1" applyFill="1" applyBorder="1" applyAlignment="1">
      <alignment horizontal="center" vertical="center" wrapText="1"/>
    </xf>
    <xf numFmtId="0" fontId="2" fillId="0" borderId="0" xfId="3" applyAlignment="1">
      <alignment vertical="center" wrapText="1"/>
    </xf>
    <xf numFmtId="0" fontId="3" fillId="0" borderId="34" xfId="3" applyFont="1" applyBorder="1" applyAlignment="1">
      <alignment vertical="center"/>
    </xf>
    <xf numFmtId="0" fontId="3" fillId="0" borderId="8" xfId="3" applyFont="1" applyBorder="1" applyAlignment="1">
      <alignment vertical="center"/>
    </xf>
    <xf numFmtId="3" fontId="3" fillId="0" borderId="4" xfId="3" applyNumberFormat="1" applyFont="1" applyBorder="1" applyAlignment="1">
      <alignment horizontal="center" vertical="center" wrapText="1"/>
    </xf>
    <xf numFmtId="3" fontId="3" fillId="0" borderId="10" xfId="3" applyNumberFormat="1" applyFont="1" applyBorder="1" applyAlignment="1">
      <alignment horizontal="center" vertical="center" wrapText="1"/>
    </xf>
    <xf numFmtId="9" fontId="3" fillId="4" borderId="4" xfId="3" applyNumberFormat="1" applyFont="1" applyFill="1" applyBorder="1" applyAlignment="1">
      <alignment horizontal="center" vertical="center" wrapText="1"/>
    </xf>
    <xf numFmtId="166" fontId="13" fillId="0" borderId="35" xfId="1" applyNumberFormat="1" applyBorder="1" applyAlignment="1">
      <alignment horizontal="left" vertical="center"/>
    </xf>
    <xf numFmtId="0" fontId="2" fillId="0" borderId="35" xfId="3" applyBorder="1" applyAlignment="1">
      <alignment vertical="center" wrapText="1"/>
    </xf>
    <xf numFmtId="0" fontId="2" fillId="0" borderId="36" xfId="3" applyBorder="1" applyAlignment="1">
      <alignment vertical="center" wrapText="1"/>
    </xf>
    <xf numFmtId="0" fontId="23" fillId="0" borderId="0" xfId="3" applyFont="1" applyAlignment="1">
      <alignment vertical="center" wrapText="1"/>
    </xf>
    <xf numFmtId="0" fontId="2" fillId="0" borderId="37" xfId="3" applyBorder="1" applyAlignment="1">
      <alignment vertical="center" wrapText="1"/>
    </xf>
    <xf numFmtId="9" fontId="3" fillId="4" borderId="5" xfId="3" applyNumberFormat="1" applyFont="1" applyFill="1" applyBorder="1" applyAlignment="1">
      <alignment horizontal="center" vertical="center" wrapText="1"/>
    </xf>
    <xf numFmtId="0" fontId="2" fillId="0" borderId="3" xfId="3" applyBorder="1" applyAlignment="1">
      <alignment vertical="center" wrapText="1"/>
    </xf>
    <xf numFmtId="0" fontId="2" fillId="0" borderId="38" xfId="3" applyBorder="1" applyAlignment="1">
      <alignment vertical="center" wrapText="1"/>
    </xf>
    <xf numFmtId="3" fontId="3" fillId="0" borderId="5" xfId="3" applyNumberFormat="1" applyFont="1" applyBorder="1" applyAlignment="1">
      <alignment horizontal="center" vertical="center" wrapText="1"/>
    </xf>
    <xf numFmtId="166" fontId="13" fillId="0" borderId="3" xfId="1" applyNumberFormat="1" applyBorder="1" applyAlignment="1">
      <alignment horizontal="left" vertical="center"/>
    </xf>
    <xf numFmtId="0" fontId="3" fillId="0" borderId="39" xfId="3" applyFont="1" applyBorder="1" applyAlignment="1">
      <alignment vertical="center"/>
    </xf>
    <xf numFmtId="0" fontId="3" fillId="0" borderId="7" xfId="3" applyFont="1" applyBorder="1" applyAlignment="1">
      <alignment vertical="center"/>
    </xf>
    <xf numFmtId="3" fontId="3" fillId="0" borderId="40" xfId="3" applyNumberFormat="1" applyFont="1" applyBorder="1" applyAlignment="1">
      <alignment horizontal="center" vertical="center" wrapText="1"/>
    </xf>
    <xf numFmtId="9" fontId="3" fillId="4" borderId="14" xfId="3" applyNumberFormat="1" applyFont="1" applyFill="1" applyBorder="1" applyAlignment="1">
      <alignment horizontal="center" vertical="center" wrapText="1"/>
    </xf>
    <xf numFmtId="166" fontId="13" fillId="0" borderId="41" xfId="1" applyNumberFormat="1" applyBorder="1" applyAlignment="1">
      <alignment horizontal="left" vertical="center"/>
    </xf>
    <xf numFmtId="0" fontId="2" fillId="0" borderId="41" xfId="3" applyBorder="1" applyAlignment="1">
      <alignment vertical="center" wrapText="1"/>
    </xf>
    <xf numFmtId="0" fontId="2" fillId="0" borderId="42" xfId="3" applyBorder="1" applyAlignment="1">
      <alignment vertical="center" wrapText="1"/>
    </xf>
    <xf numFmtId="3" fontId="26" fillId="3" borderId="29" xfId="3" applyNumberFormat="1" applyFont="1" applyFill="1" applyBorder="1" applyAlignment="1">
      <alignment horizontal="center" vertical="center" wrapText="1"/>
    </xf>
    <xf numFmtId="9" fontId="26" fillId="3" borderId="43" xfId="3" applyNumberFormat="1" applyFont="1" applyFill="1" applyBorder="1" applyAlignment="1">
      <alignment horizontal="center" vertical="center" wrapText="1"/>
    </xf>
    <xf numFmtId="9" fontId="26" fillId="3" borderId="31" xfId="3" applyNumberFormat="1" applyFont="1" applyFill="1" applyBorder="1" applyAlignment="1">
      <alignment horizontal="center" vertical="center" wrapText="1"/>
    </xf>
    <xf numFmtId="9" fontId="26" fillId="3" borderId="32" xfId="3" applyNumberFormat="1" applyFont="1" applyFill="1" applyBorder="1" applyAlignment="1">
      <alignment horizontal="center" vertical="center" wrapText="1"/>
    </xf>
    <xf numFmtId="9" fontId="26" fillId="3" borderId="33" xfId="3" applyNumberFormat="1" applyFont="1" applyFill="1" applyBorder="1" applyAlignment="1">
      <alignment horizontal="center" vertical="center" wrapText="1"/>
    </xf>
    <xf numFmtId="0" fontId="24" fillId="7" borderId="0" xfId="0" applyFont="1" applyFill="1" applyAlignment="1">
      <alignment vertical="center"/>
    </xf>
    <xf numFmtId="0" fontId="24" fillId="7" borderId="0" xfId="0" applyFont="1" applyFill="1" applyAlignment="1">
      <alignment horizontal="center" vertical="center"/>
    </xf>
    <xf numFmtId="0" fontId="25" fillId="3" borderId="0" xfId="0" applyFont="1" applyFill="1" applyAlignment="1">
      <alignment vertical="center"/>
    </xf>
    <xf numFmtId="0" fontId="25" fillId="3" borderId="0" xfId="0" applyFont="1" applyFill="1" applyAlignment="1">
      <alignment horizontal="center" vertical="center"/>
    </xf>
    <xf numFmtId="0" fontId="26" fillId="0" borderId="0" xfId="0" applyFont="1" applyAlignment="1">
      <alignment vertical="center"/>
    </xf>
    <xf numFmtId="0" fontId="26" fillId="0" borderId="0" xfId="0" applyFont="1" applyAlignment="1">
      <alignment horizontal="center" vertical="center"/>
    </xf>
    <xf numFmtId="0" fontId="17" fillId="7" borderId="31" xfId="0" applyFont="1" applyFill="1" applyBorder="1" applyAlignment="1">
      <alignment horizontal="center" vertical="center" wrapText="1"/>
    </xf>
    <xf numFmtId="0" fontId="7" fillId="9" borderId="44" xfId="0" applyFont="1" applyFill="1" applyBorder="1" applyAlignment="1">
      <alignment vertical="center"/>
    </xf>
    <xf numFmtId="0" fontId="7" fillId="9" borderId="27" xfId="0" applyFont="1" applyFill="1" applyBorder="1" applyAlignment="1">
      <alignment vertical="center"/>
    </xf>
    <xf numFmtId="0" fontId="28" fillId="0" borderId="31"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43" xfId="0" applyFont="1" applyBorder="1" applyAlignment="1">
      <alignment horizontal="center" vertical="center" wrapText="1"/>
    </xf>
    <xf numFmtId="0" fontId="28" fillId="0" borderId="32" xfId="0" applyFont="1" applyBorder="1" applyAlignment="1">
      <alignment horizontal="center" vertical="center" wrapText="1"/>
    </xf>
    <xf numFmtId="0" fontId="29" fillId="8" borderId="31" xfId="0" applyFont="1" applyFill="1" applyBorder="1" applyAlignment="1">
      <alignment horizontal="center" vertical="center" wrapText="1"/>
    </xf>
    <xf numFmtId="0" fontId="28" fillId="0" borderId="16" xfId="0" applyFont="1" applyBorder="1" applyAlignment="1">
      <alignment horizontal="center" vertical="center" wrapText="1"/>
    </xf>
    <xf numFmtId="0" fontId="28" fillId="0" borderId="5" xfId="0" applyFont="1" applyBorder="1" applyAlignment="1">
      <alignment horizontal="center" vertical="center" wrapText="1"/>
    </xf>
    <xf numFmtId="0" fontId="30" fillId="0" borderId="5"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0" xfId="0" applyFont="1" applyAlignment="1">
      <alignment horizontal="center" vertical="center" wrapText="1"/>
    </xf>
    <xf numFmtId="0" fontId="11" fillId="5" borderId="4" xfId="0" applyFont="1" applyFill="1" applyBorder="1" applyAlignment="1">
      <alignment horizontal="left" vertical="center"/>
    </xf>
    <xf numFmtId="0" fontId="31" fillId="5" borderId="4" xfId="1" applyFont="1" applyFill="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vertical="center" wrapText="1"/>
    </xf>
    <xf numFmtId="0" fontId="32" fillId="0" borderId="3" xfId="0" applyFont="1" applyBorder="1" applyAlignment="1">
      <alignment horizontal="left" vertical="center"/>
    </xf>
    <xf numFmtId="0" fontId="2" fillId="8" borderId="22" xfId="0" applyFont="1" applyFill="1" applyBorder="1" applyAlignment="1">
      <alignment vertical="center" wrapText="1"/>
    </xf>
    <xf numFmtId="0" fontId="2" fillId="0" borderId="16" xfId="0" applyFont="1" applyBorder="1" applyAlignment="1">
      <alignment horizontal="center" vertical="center" wrapText="1"/>
    </xf>
    <xf numFmtId="0" fontId="2" fillId="10"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45" xfId="0" applyFont="1" applyBorder="1" applyAlignment="1">
      <alignment horizontal="center" vertical="center" wrapText="1"/>
    </xf>
    <xf numFmtId="0" fontId="33" fillId="5" borderId="4" xfId="0" applyFont="1" applyFill="1" applyBorder="1" applyAlignment="1">
      <alignment horizontal="center" vertical="center"/>
    </xf>
    <xf numFmtId="0" fontId="34" fillId="0" borderId="2" xfId="0" applyFont="1" applyBorder="1" applyAlignment="1">
      <alignment horizontal="left" vertical="center" wrapText="1"/>
    </xf>
    <xf numFmtId="0" fontId="2" fillId="0" borderId="1" xfId="0" applyFont="1" applyBorder="1" applyAlignment="1">
      <alignment horizontal="center" vertical="center" wrapText="1"/>
    </xf>
    <xf numFmtId="0" fontId="35" fillId="5" borderId="4" xfId="0" applyFont="1" applyFill="1" applyBorder="1" applyAlignment="1">
      <alignment horizontal="left" vertical="center"/>
    </xf>
    <xf numFmtId="0" fontId="34" fillId="0" borderId="5" xfId="0" applyFont="1" applyBorder="1" applyAlignment="1">
      <alignment horizontal="left" vertical="center" wrapText="1"/>
    </xf>
    <xf numFmtId="0" fontId="2" fillId="8" borderId="46" xfId="0" applyFont="1" applyFill="1" applyBorder="1" applyAlignment="1">
      <alignment vertical="center" wrapText="1"/>
    </xf>
    <xf numFmtId="0" fontId="2" fillId="0" borderId="47" xfId="0" applyFont="1" applyBorder="1" applyAlignment="1">
      <alignment horizontal="center" vertical="center" wrapText="1"/>
    </xf>
    <xf numFmtId="0" fontId="2" fillId="8" borderId="11" xfId="0" applyFont="1" applyFill="1" applyBorder="1" applyAlignment="1">
      <alignment vertical="center" wrapText="1"/>
    </xf>
    <xf numFmtId="0" fontId="2" fillId="8" borderId="48" xfId="0" applyFont="1" applyFill="1" applyBorder="1" applyAlignment="1">
      <alignment vertical="center" wrapText="1"/>
    </xf>
    <xf numFmtId="0" fontId="2" fillId="0" borderId="49" xfId="0" applyFont="1" applyBorder="1" applyAlignment="1">
      <alignment horizontal="center" vertical="center" wrapText="1"/>
    </xf>
    <xf numFmtId="0" fontId="2" fillId="8" borderId="22" xfId="0" applyFont="1" applyFill="1" applyBorder="1">
      <alignment vertical="top" wrapText="1"/>
    </xf>
    <xf numFmtId="0" fontId="2" fillId="0" borderId="50" xfId="0" applyFont="1" applyBorder="1" applyAlignment="1">
      <alignment horizontal="center" vertical="center" wrapText="1"/>
    </xf>
    <xf numFmtId="0" fontId="34" fillId="0" borderId="1" xfId="0" applyFont="1" applyBorder="1" applyAlignment="1">
      <alignment horizontal="left" vertical="center" wrapText="1"/>
    </xf>
    <xf numFmtId="0" fontId="2" fillId="0" borderId="38" xfId="0" applyFont="1" applyBorder="1" applyAlignment="1">
      <alignment vertical="center" wrapText="1"/>
    </xf>
    <xf numFmtId="0" fontId="13" fillId="5" borderId="4" xfId="1" applyFill="1" applyBorder="1" applyAlignment="1">
      <alignment horizontal="center" vertical="center"/>
    </xf>
    <xf numFmtId="0" fontId="36" fillId="5" borderId="4" xfId="1" applyFont="1" applyFill="1" applyBorder="1" applyAlignment="1">
      <alignment horizontal="left" vertical="center"/>
    </xf>
    <xf numFmtId="0" fontId="2" fillId="0" borderId="0" xfId="3" applyAlignment="1">
      <alignment vertical="top" shrinkToFit="1"/>
    </xf>
    <xf numFmtId="0" fontId="30" fillId="7" borderId="0" xfId="3" applyFont="1" applyFill="1" applyAlignment="1">
      <alignment horizontal="center" vertical="center" wrapText="1"/>
    </xf>
    <xf numFmtId="0" fontId="8" fillId="6" borderId="0" xfId="3" applyFont="1" applyFill="1" applyAlignment="1">
      <alignment vertical="center"/>
    </xf>
    <xf numFmtId="0" fontId="12" fillId="6" borderId="0" xfId="3" applyFont="1" applyFill="1" applyAlignment="1">
      <alignment vertical="center"/>
    </xf>
    <xf numFmtId="0" fontId="8" fillId="6" borderId="0" xfId="3" applyFont="1" applyFill="1" applyAlignment="1">
      <alignment horizontal="left" vertical="center" wrapText="1"/>
    </xf>
    <xf numFmtId="0" fontId="28" fillId="0" borderId="0" xfId="3" applyFont="1">
      <alignment vertical="top" wrapText="1"/>
    </xf>
    <xf numFmtId="0" fontId="26" fillId="0" borderId="51" xfId="3" applyFont="1" applyBorder="1" applyAlignment="1">
      <alignment vertical="center" wrapText="1"/>
    </xf>
    <xf numFmtId="0" fontId="26" fillId="0" borderId="38" xfId="3" applyFont="1" applyBorder="1" applyAlignment="1">
      <alignment vertical="center" wrapText="1"/>
    </xf>
    <xf numFmtId="0" fontId="20" fillId="0" borderId="0" xfId="3" applyFont="1" applyAlignment="1">
      <alignment vertical="center" shrinkToFit="1"/>
    </xf>
    <xf numFmtId="0" fontId="26" fillId="0" borderId="52" xfId="3" applyFont="1" applyBorder="1" applyAlignment="1">
      <alignment vertical="center" wrapText="1"/>
    </xf>
    <xf numFmtId="0" fontId="23" fillId="0" borderId="0" xfId="3" applyFont="1" applyAlignment="1">
      <alignment vertical="top" shrinkToFit="1"/>
    </xf>
    <xf numFmtId="0" fontId="2" fillId="0" borderId="27" xfId="3" applyBorder="1">
      <alignment vertical="top" wrapText="1"/>
    </xf>
    <xf numFmtId="0" fontId="26" fillId="3" borderId="43" xfId="3" applyFont="1" applyFill="1" applyBorder="1" applyAlignment="1">
      <alignment horizontal="center" vertical="center" wrapText="1"/>
    </xf>
    <xf numFmtId="0" fontId="26" fillId="4" borderId="13" xfId="3" applyFont="1" applyFill="1" applyBorder="1" applyAlignment="1">
      <alignment horizontal="left" vertical="center" wrapText="1"/>
    </xf>
    <xf numFmtId="0" fontId="26" fillId="4" borderId="28" xfId="3" applyFont="1" applyFill="1" applyBorder="1" applyAlignment="1">
      <alignment horizontal="center" vertical="center" wrapText="1"/>
    </xf>
    <xf numFmtId="3" fontId="26" fillId="4" borderId="29" xfId="3" applyNumberFormat="1" applyFont="1" applyFill="1" applyBorder="1" applyAlignment="1">
      <alignment horizontal="center" vertical="center" wrapText="1"/>
    </xf>
    <xf numFmtId="9" fontId="26" fillId="4" borderId="43" xfId="3" applyNumberFormat="1" applyFont="1" applyFill="1" applyBorder="1" applyAlignment="1">
      <alignment horizontal="center" vertical="center" wrapText="1"/>
    </xf>
    <xf numFmtId="0" fontId="37" fillId="3" borderId="31" xfId="3" applyFont="1" applyFill="1" applyBorder="1" applyAlignment="1">
      <alignment vertical="center"/>
    </xf>
    <xf numFmtId="0" fontId="26" fillId="3" borderId="32" xfId="3" applyFont="1" applyFill="1" applyBorder="1" applyAlignment="1">
      <alignment vertical="center"/>
    </xf>
    <xf numFmtId="0" fontId="26" fillId="3" borderId="33" xfId="3" applyFont="1" applyFill="1" applyBorder="1" applyAlignment="1">
      <alignment vertical="center"/>
    </xf>
    <xf numFmtId="0" fontId="2" fillId="5" borderId="12" xfId="3" applyFill="1" applyBorder="1">
      <alignment vertical="top" wrapText="1"/>
    </xf>
    <xf numFmtId="0" fontId="10" fillId="5" borderId="40" xfId="0" applyFont="1" applyFill="1" applyBorder="1" applyAlignment="1">
      <alignment horizontal="center" vertical="center"/>
    </xf>
    <xf numFmtId="0" fontId="33" fillId="5" borderId="40" xfId="0" applyFont="1" applyFill="1" applyBorder="1" applyAlignment="1">
      <alignment horizontal="center" vertical="center"/>
    </xf>
    <xf numFmtId="0" fontId="38" fillId="7" borderId="39" xfId="0" applyFont="1" applyFill="1" applyBorder="1" applyAlignment="1">
      <alignment horizontal="center" vertical="center" wrapText="1"/>
    </xf>
    <xf numFmtId="0" fontId="2" fillId="5" borderId="0" xfId="3" applyFill="1">
      <alignment vertical="top" wrapText="1"/>
    </xf>
    <xf numFmtId="0" fontId="0" fillId="0" borderId="5" xfId="0" applyBorder="1" applyAlignment="1">
      <alignment vertical="center" wrapText="1"/>
    </xf>
    <xf numFmtId="0" fontId="2" fillId="5" borderId="5" xfId="3" applyFill="1" applyBorder="1" applyAlignment="1">
      <alignment vertical="center" wrapText="1"/>
    </xf>
    <xf numFmtId="0" fontId="39" fillId="0" borderId="0" xfId="3" applyFont="1">
      <alignment vertical="top" wrapText="1"/>
    </xf>
    <xf numFmtId="0" fontId="39" fillId="0" borderId="0" xfId="0" applyFont="1">
      <alignment vertical="top" wrapText="1"/>
    </xf>
    <xf numFmtId="0" fontId="7" fillId="9" borderId="53" xfId="0" applyFont="1" applyFill="1" applyBorder="1" applyAlignment="1">
      <alignment vertical="center"/>
    </xf>
    <xf numFmtId="0" fontId="40" fillId="5" borderId="4" xfId="1" applyFont="1" applyFill="1" applyBorder="1" applyAlignment="1">
      <alignment horizontal="center" vertical="center"/>
    </xf>
    <xf numFmtId="0" fontId="10" fillId="11" borderId="5" xfId="3" applyFont="1" applyFill="1" applyBorder="1" applyAlignment="1">
      <alignment vertical="center"/>
    </xf>
    <xf numFmtId="0" fontId="10" fillId="11" borderId="2" xfId="0" applyFont="1" applyFill="1" applyBorder="1" applyAlignment="1">
      <alignment vertical="center"/>
    </xf>
    <xf numFmtId="0" fontId="10" fillId="11" borderId="4" xfId="0" applyFont="1" applyFill="1" applyBorder="1" applyAlignment="1">
      <alignment horizontal="center" vertical="center"/>
    </xf>
    <xf numFmtId="0" fontId="40" fillId="11" borderId="4" xfId="1" applyFont="1" applyFill="1" applyBorder="1" applyAlignment="1">
      <alignment horizontal="center" vertical="center"/>
    </xf>
    <xf numFmtId="0" fontId="5" fillId="10" borderId="5" xfId="0" applyFont="1" applyFill="1" applyBorder="1" applyAlignment="1">
      <alignment horizontal="center" vertical="center" wrapText="1"/>
    </xf>
    <xf numFmtId="0" fontId="3" fillId="0" borderId="0" xfId="3" applyFont="1" applyAlignment="1"/>
    <xf numFmtId="0" fontId="3" fillId="0" borderId="0" xfId="3" applyFont="1" applyAlignment="1">
      <alignment horizontal="center" vertical="center"/>
    </xf>
    <xf numFmtId="0" fontId="3" fillId="0" borderId="0" xfId="3" applyFont="1" applyAlignment="1">
      <alignment wrapText="1"/>
    </xf>
    <xf numFmtId="0" fontId="24" fillId="12" borderId="0" xfId="3" applyFont="1" applyFill="1" applyAlignment="1">
      <alignment vertical="center"/>
    </xf>
    <xf numFmtId="0" fontId="3" fillId="12" borderId="0" xfId="0" applyFont="1" applyFill="1" applyAlignment="1">
      <alignment horizontal="right" vertical="center"/>
    </xf>
    <xf numFmtId="0" fontId="14" fillId="3" borderId="17" xfId="1" applyFont="1" applyFill="1" applyBorder="1" applyAlignment="1">
      <alignment vertical="center"/>
    </xf>
    <xf numFmtId="0" fontId="25" fillId="3" borderId="0" xfId="3" applyFont="1" applyFill="1" applyAlignment="1">
      <alignment vertical="center"/>
    </xf>
    <xf numFmtId="0" fontId="25" fillId="3" borderId="7" xfId="3" applyFont="1" applyFill="1" applyBorder="1" applyAlignment="1">
      <alignment vertical="center"/>
    </xf>
    <xf numFmtId="0" fontId="14" fillId="3" borderId="0" xfId="1" applyFont="1" applyFill="1" applyAlignment="1">
      <alignment vertical="center"/>
    </xf>
    <xf numFmtId="0" fontId="30" fillId="3" borderId="0" xfId="1" applyFont="1" applyFill="1" applyAlignment="1">
      <alignment vertical="center"/>
    </xf>
    <xf numFmtId="0" fontId="25" fillId="3" borderId="8" xfId="3" applyFont="1" applyFill="1" applyBorder="1" applyAlignment="1">
      <alignment vertical="center"/>
    </xf>
    <xf numFmtId="0" fontId="10" fillId="5" borderId="4" xfId="3" applyFont="1" applyFill="1" applyBorder="1" applyAlignment="1">
      <alignment vertical="center"/>
    </xf>
    <xf numFmtId="0" fontId="10" fillId="5" borderId="5" xfId="3" applyFont="1" applyFill="1" applyBorder="1" applyAlignment="1">
      <alignment horizontal="center" vertical="center" wrapText="1"/>
    </xf>
    <xf numFmtId="0" fontId="15" fillId="3" borderId="5" xfId="3" applyFont="1" applyFill="1" applyBorder="1" applyAlignment="1">
      <alignment vertical="center" wrapText="1"/>
    </xf>
    <xf numFmtId="0" fontId="41" fillId="6" borderId="5" xfId="3" applyFont="1" applyFill="1" applyBorder="1" applyAlignment="1">
      <alignment vertical="center"/>
    </xf>
    <xf numFmtId="0" fontId="10" fillId="13" borderId="5" xfId="3" applyFont="1" applyFill="1" applyBorder="1" applyAlignment="1">
      <alignment vertical="center"/>
    </xf>
    <xf numFmtId="0" fontId="10" fillId="13" borderId="5" xfId="3" applyFont="1" applyFill="1" applyBorder="1" applyAlignment="1">
      <alignment horizontal="center" vertical="center" wrapText="1"/>
    </xf>
    <xf numFmtId="0" fontId="2" fillId="13" borderId="0" xfId="3" applyFill="1">
      <alignment vertical="top" wrapText="1"/>
    </xf>
    <xf numFmtId="0" fontId="2" fillId="0" borderId="0" xfId="3" applyAlignment="1">
      <alignment horizontal="left" vertical="center" wrapText="1"/>
    </xf>
    <xf numFmtId="0" fontId="15" fillId="3" borderId="5" xfId="3" applyFont="1" applyFill="1" applyBorder="1" applyAlignment="1">
      <alignment vertical="center"/>
    </xf>
    <xf numFmtId="0" fontId="1" fillId="0" borderId="5" xfId="2" applyBorder="1" applyAlignment="1">
      <alignment vertical="top" wrapText="1"/>
    </xf>
    <xf numFmtId="0" fontId="42" fillId="4" borderId="5" xfId="2" applyFont="1" applyFill="1" applyBorder="1" applyAlignment="1">
      <alignment vertical="top" shrinkToFit="1"/>
    </xf>
    <xf numFmtId="0" fontId="43" fillId="0" borderId="5" xfId="2" applyFont="1" applyBorder="1" applyAlignment="1">
      <alignment vertical="top" wrapText="1"/>
    </xf>
    <xf numFmtId="0" fontId="43" fillId="14" borderId="5" xfId="2" applyFont="1" applyFill="1" applyBorder="1" applyAlignment="1">
      <alignment vertical="top" wrapText="1"/>
    </xf>
    <xf numFmtId="0" fontId="43" fillId="15" borderId="5" xfId="2" applyFont="1" applyFill="1" applyBorder="1" applyAlignment="1">
      <alignment vertical="top" wrapText="1"/>
    </xf>
    <xf numFmtId="0" fontId="43" fillId="16" borderId="5" xfId="2" applyFont="1" applyFill="1" applyBorder="1" applyAlignment="1">
      <alignment vertical="top" wrapText="1"/>
    </xf>
    <xf numFmtId="0" fontId="43" fillId="17" borderId="5" xfId="2" applyFont="1" applyFill="1" applyBorder="1" applyAlignment="1">
      <alignment vertical="top" wrapText="1"/>
    </xf>
    <xf numFmtId="0" fontId="43" fillId="18" borderId="5" xfId="2" applyFont="1" applyFill="1" applyBorder="1" applyAlignment="1">
      <alignment vertical="top" wrapText="1"/>
    </xf>
    <xf numFmtId="0" fontId="44" fillId="0" borderId="5" xfId="2" applyFont="1" applyBorder="1" applyAlignment="1">
      <alignment vertical="top" wrapText="1"/>
    </xf>
    <xf numFmtId="0" fontId="44" fillId="19" borderId="5" xfId="2" applyFont="1" applyFill="1" applyBorder="1" applyAlignment="1">
      <alignment vertical="top" wrapText="1"/>
    </xf>
    <xf numFmtId="0" fontId="44" fillId="0" borderId="5" xfId="0" applyFont="1" applyBorder="1">
      <alignment vertical="top" wrapText="1"/>
    </xf>
    <xf numFmtId="0" fontId="45" fillId="0" borderId="5" xfId="2" applyFont="1" applyBorder="1" applyAlignment="1">
      <alignment vertical="top" wrapText="1"/>
    </xf>
    <xf numFmtId="0" fontId="44" fillId="0" borderId="0" xfId="0" applyFont="1">
      <alignment vertical="top" wrapText="1"/>
    </xf>
    <xf numFmtId="0" fontId="45" fillId="19" borderId="5" xfId="2" applyFont="1" applyFill="1" applyBorder="1" applyAlignment="1">
      <alignment vertical="top" wrapText="1"/>
    </xf>
    <xf numFmtId="0" fontId="44" fillId="0" borderId="5" xfId="0" applyFont="1" applyBorder="1" applyAlignment="1">
      <alignment horizontal="right" vertical="top" wrapText="1"/>
    </xf>
    <xf numFmtId="0" fontId="46" fillId="0" borderId="5" xfId="0" applyFont="1" applyBorder="1">
      <alignment vertical="top" wrapText="1"/>
    </xf>
    <xf numFmtId="0" fontId="44" fillId="0" borderId="5" xfId="0" applyFont="1" applyBorder="1" applyAlignment="1">
      <alignment vertical="center"/>
    </xf>
    <xf numFmtId="0" fontId="44" fillId="19" borderId="5" xfId="0" applyFont="1" applyFill="1" applyBorder="1">
      <alignment vertical="top" wrapText="1"/>
    </xf>
    <xf numFmtId="0" fontId="44" fillId="0" borderId="5" xfId="0" applyFont="1" applyBorder="1" applyAlignment="1">
      <alignment wrapText="1"/>
    </xf>
    <xf numFmtId="0" fontId="46" fillId="0" borderId="5" xfId="0" applyFont="1" applyBorder="1" applyAlignment="1">
      <alignment wrapText="1"/>
    </xf>
    <xf numFmtId="0" fontId="47" fillId="0" borderId="5" xfId="0" applyFont="1" applyBorder="1" applyAlignment="1">
      <alignment wrapText="1"/>
    </xf>
    <xf numFmtId="0" fontId="1" fillId="0" borderId="0" xfId="2"/>
    <xf numFmtId="0" fontId="1" fillId="6" borderId="0" xfId="2" applyFill="1" applyAlignment="1">
      <alignment horizontal="center"/>
    </xf>
    <xf numFmtId="0" fontId="1" fillId="6" borderId="0" xfId="2" applyFill="1"/>
    <xf numFmtId="0" fontId="42" fillId="0" borderId="0" xfId="2" applyFont="1" applyAlignment="1">
      <alignment shrinkToFit="1"/>
    </xf>
    <xf numFmtId="0" fontId="48" fillId="0" borderId="0" xfId="2" applyFont="1"/>
    <xf numFmtId="0" fontId="48" fillId="6" borderId="0" xfId="2" applyFont="1" applyFill="1" applyAlignment="1">
      <alignment horizontal="center"/>
    </xf>
    <xf numFmtId="0" fontId="48" fillId="6" borderId="0" xfId="2" applyFont="1" applyFill="1"/>
    <xf numFmtId="0" fontId="49" fillId="0" borderId="0" xfId="2" applyFont="1"/>
    <xf numFmtId="0" fontId="49" fillId="6" borderId="0" xfId="2" applyFont="1" applyFill="1"/>
    <xf numFmtId="0" fontId="1" fillId="0" borderId="0" xfId="2" applyAlignment="1">
      <alignment horizontal="center"/>
    </xf>
    <xf numFmtId="0" fontId="50" fillId="0" borderId="0" xfId="2" applyFont="1"/>
    <xf numFmtId="0" fontId="1" fillId="0" borderId="0" xfId="2" applyAlignment="1">
      <alignment horizontal="left"/>
    </xf>
    <xf numFmtId="0" fontId="1" fillId="6" borderId="0" xfId="2" applyFill="1" applyAlignment="1">
      <alignment horizontal="left"/>
    </xf>
    <xf numFmtId="0" fontId="51" fillId="0" borderId="0" xfId="2" applyFont="1"/>
    <xf numFmtId="0" fontId="51" fillId="0" borderId="0" xfId="2" applyFont="1" applyAlignment="1">
      <alignment horizontal="center"/>
    </xf>
    <xf numFmtId="0" fontId="50" fillId="6" borderId="0" xfId="2" applyFont="1" applyFill="1"/>
    <xf numFmtId="0" fontId="52" fillId="20" borderId="0" xfId="2" applyFont="1" applyFill="1"/>
    <xf numFmtId="0" fontId="44" fillId="0" borderId="0" xfId="0" applyFont="1" applyAlignment="1">
      <alignment horizontal="left" vertical="center" wrapText="1"/>
    </xf>
    <xf numFmtId="0" fontId="1" fillId="0" borderId="0" xfId="2" applyAlignment="1">
      <alignment vertical="top" wrapText="1"/>
    </xf>
    <xf numFmtId="0" fontId="42" fillId="0" borderId="0" xfId="2" applyFont="1" applyAlignment="1">
      <alignment vertical="top" shrinkToFit="1"/>
    </xf>
    <xf numFmtId="0" fontId="43" fillId="21" borderId="0" xfId="2" applyFont="1" applyFill="1" applyAlignment="1">
      <alignment horizontal="center" vertical="center" wrapText="1"/>
    </xf>
    <xf numFmtId="0" fontId="43" fillId="22" borderId="0" xfId="2" applyFont="1" applyFill="1" applyAlignment="1">
      <alignment horizontal="center" vertical="center" wrapText="1"/>
    </xf>
    <xf numFmtId="0" fontId="44" fillId="0" borderId="0" xfId="2" applyFont="1" applyAlignment="1">
      <alignment vertical="top" wrapText="1"/>
    </xf>
    <xf numFmtId="0" fontId="45" fillId="0" borderId="0" xfId="2" applyFont="1" applyAlignment="1">
      <alignment vertical="top" wrapText="1"/>
    </xf>
    <xf numFmtId="0" fontId="43" fillId="0" borderId="31" xfId="0" applyFont="1" applyBorder="1">
      <alignment vertical="top" wrapText="1"/>
    </xf>
    <xf numFmtId="0" fontId="43" fillId="0" borderId="32" xfId="0" applyFont="1" applyBorder="1">
      <alignment vertical="top" wrapText="1"/>
    </xf>
    <xf numFmtId="0" fontId="43" fillId="0" borderId="33" xfId="0" applyFont="1" applyBorder="1">
      <alignment vertical="top" wrapText="1"/>
    </xf>
    <xf numFmtId="0" fontId="13" fillId="0" borderId="0" xfId="1">
      <alignment vertical="top" wrapText="1"/>
    </xf>
    <xf numFmtId="0" fontId="27" fillId="0" borderId="0" xfId="3" applyFont="1" applyAlignment="1">
      <alignment horizontal="center" vertical="center" wrapText="1"/>
    </xf>
  </cellXfs>
  <cellStyles count="4">
    <cellStyle name="Link" xfId="1" xr:uid="{00000000-0005-0000-0000-000000000000}"/>
    <cellStyle name="Normal 2" xfId="2" xr:uid="{00000000-0005-0000-0000-000001000000}"/>
    <cellStyle name="Normal 3" xfId="3" xr:uid="{00000000-0005-0000-0000-000002000000}"/>
    <cellStyle name="Standard" xfId="0" builtinId="0"/>
  </cellStyles>
  <dxfs count="1">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A20000"/>
      <rgbColor rgb="FF008000"/>
      <rgbColor rgb="FF000080"/>
      <rgbColor rgb="FF808000"/>
      <rgbColor rgb="FF800080"/>
      <rgbColor rgb="FF00636C"/>
      <rgbColor rgb="FFD1D1D1"/>
      <rgbColor rgb="FF808080"/>
      <rgbColor rgb="FFD0DAF0"/>
      <rgbColor rgb="FF993366"/>
      <rgbColor rgb="FFFDEEC5"/>
      <rgbColor rgb="FFCAEEFB"/>
      <rgbColor rgb="FF660066"/>
      <rgbColor rgb="FFFF8080"/>
      <rgbColor rgb="FF0066CC"/>
      <rgbColor rgb="FFD9D2E9"/>
      <rgbColor rgb="FF000080"/>
      <rgbColor rgb="FFFF00FF"/>
      <rgbColor rgb="FFFFFF00"/>
      <rgbColor rgb="FF00FFFF"/>
      <rgbColor rgb="FF800080"/>
      <rgbColor rgb="FFBF0000"/>
      <rgbColor rgb="FF156082"/>
      <rgbColor rgb="FF0000FF"/>
      <rgbColor rgb="FF00CCFF"/>
      <rgbColor rgb="FFF2F2F2"/>
      <rgbColor rgb="FFD9EAD3"/>
      <rgbColor rgb="FFFBE3D6"/>
      <rgbColor rgb="FFA6CAEC"/>
      <rgbColor rgb="FFF2AA84"/>
      <rgbColor rgb="FFF2CFEE"/>
      <rgbColor rgb="FFE6B8AF"/>
      <rgbColor rgb="FF3366FF"/>
      <rgbColor rgb="FF7ECCA0"/>
      <rgbColor rgb="FFB7E1CD"/>
      <rgbColor rgb="FFD9D9D9"/>
      <rgbColor rgb="FFE0B233"/>
      <rgbColor rgb="FFFF6600"/>
      <rgbColor rgb="FF4C6BB3"/>
      <rgbColor rgb="FFA6A6A6"/>
      <rgbColor rgb="FF003366"/>
      <rgbColor rgb="FF467886"/>
      <rgbColor rgb="FF003300"/>
      <rgbColor rgb="FF333300"/>
      <rgbColor rgb="FFC00000"/>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10</xdr:col>
      <xdr:colOff>76200</xdr:colOff>
      <xdr:row>18</xdr:row>
      <xdr:rowOff>457200</xdr:rowOff>
    </xdr:to>
    <xdr:sp macro="" textlink="">
      <xdr:nvSpPr>
        <xdr:cNvPr id="1027" name="Text Box 3" hidden="1">
          <a:extLst>
            <a:ext uri="{FF2B5EF4-FFF2-40B4-BE49-F238E27FC236}">
              <a16:creationId xmlns:a16="http://schemas.microsoft.com/office/drawing/2014/main" id="{B9D15B5A-6623-D9C7-1156-3EAB6DBD25B3}"/>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majorFont>
      <a:minorFont>
        <a:latin typeface="Aptos Narrow"/>
        <a:ea typeface=""/>
        <a:cs typeface=""/>
      </a:minorFont>
    </a:fontScheme>
    <a:fmtScheme name="Offic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s://smartpls.com/privacy" TargetMode="External"/><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36C"/>
  </sheetPr>
  <dimension ref="A1:L75"/>
  <sheetViews>
    <sheetView showGridLines="0" topLeftCell="A30" workbookViewId="0"/>
  </sheetViews>
  <sheetFormatPr baseColWidth="10" defaultColWidth="0" defaultRowHeight="16" x14ac:dyDescent="0.2"/>
  <cols>
    <col min="1" max="1" width="8.25" style="2" customWidth="1"/>
    <col min="2" max="2" width="55.125" style="3" customWidth="1"/>
    <col min="3" max="3" width="21.25" style="4" customWidth="1"/>
    <col min="4" max="4" width="55.625" style="5" customWidth="1"/>
    <col min="5" max="5" width="32" style="6" customWidth="1"/>
    <col min="6" max="6" width="30.625" style="3" customWidth="1"/>
    <col min="7" max="7" width="18" style="3" customWidth="1"/>
    <col min="8" max="8" width="16.625" style="3" hidden="1" customWidth="1"/>
    <col min="9" max="9" width="18" style="7" hidden="1" customWidth="1"/>
    <col min="10" max="10" width="18" style="3" hidden="1" customWidth="1"/>
    <col min="11" max="11" width="4.5" style="3" hidden="1" customWidth="1"/>
    <col min="12" max="12" width="6.625" style="3" hidden="1"/>
    <col min="13" max="16384" width="6.625" style="2" hidden="1"/>
  </cols>
  <sheetData>
    <row r="1" spans="1:9" ht="221" hidden="1" x14ac:dyDescent="0.2">
      <c r="A1" t="s">
        <v>0</v>
      </c>
    </row>
    <row r="2" spans="1:9" ht="36" customHeight="1" x14ac:dyDescent="0.2">
      <c r="A2" s="8" t="s">
        <v>1</v>
      </c>
      <c r="B2" s="8"/>
      <c r="C2" s="9"/>
      <c r="D2" s="10"/>
      <c r="E2" s="11"/>
      <c r="F2" s="11" t="str">
        <f>'Auto Responses'!$A$36</f>
        <v>Version 4.1.6</v>
      </c>
    </row>
    <row r="3" spans="1:9" s="3" customFormat="1" ht="28.5" customHeight="1" x14ac:dyDescent="0.15">
      <c r="A3" s="12" t="s">
        <v>2</v>
      </c>
      <c r="B3" s="13">
        <v>46307</v>
      </c>
      <c r="C3" s="14"/>
      <c r="D3" s="15"/>
      <c r="E3" s="16"/>
      <c r="F3" s="17"/>
      <c r="I3" s="7"/>
    </row>
    <row r="4" spans="1:9" s="3" customFormat="1" ht="36" customHeight="1" x14ac:dyDescent="0.15">
      <c r="A4" s="18" t="s">
        <v>3</v>
      </c>
      <c r="B4" s="19"/>
      <c r="C4" s="20"/>
      <c r="D4" s="21"/>
      <c r="E4" s="22"/>
      <c r="F4" s="22"/>
      <c r="I4" s="7"/>
    </row>
    <row r="5" spans="1:9"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9"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9"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9" s="3" customFormat="1" ht="19.5" customHeight="1" x14ac:dyDescent="0.15">
      <c r="A8" s="23" t="str">
        <f>HLOOKUP($A$4,'Auto Responses'!$D$2:$D$8,5,0)&amp;""</f>
        <v>4. DO NOT complete any fields in the "Evaluation" sheets or the "Analyst Notes" column.</v>
      </c>
      <c r="B8" s="24"/>
      <c r="C8" s="25"/>
      <c r="D8" s="26"/>
      <c r="E8" s="24"/>
      <c r="F8" s="28"/>
      <c r="I8" s="7"/>
    </row>
    <row r="9" spans="1:9" s="3" customFormat="1" ht="19.5" customHeight="1" x14ac:dyDescent="0.15">
      <c r="A9" s="23" t="str">
        <f>HLOOKUP($A$4,'Auto Responses'!$D$2:$D$8,6,0)&amp;""</f>
        <v>5. Return the completed file to institutions.</v>
      </c>
      <c r="B9" s="24"/>
      <c r="C9" s="25"/>
      <c r="D9" s="26"/>
      <c r="E9" s="24"/>
      <c r="F9" s="28"/>
      <c r="I9" s="7"/>
    </row>
    <row r="10" spans="1:9"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9" s="3" customFormat="1" ht="19.5" customHeight="1" x14ac:dyDescent="0.15">
      <c r="A11" s="30" t="str">
        <f>HLOOKUP($A$4,'Auto Responses'!$D$2:$D$9,8,0)&amp;""</f>
        <v>For full instructions, please visit educause.edu/HECVAT</v>
      </c>
      <c r="B11" s="24"/>
      <c r="C11" s="25"/>
      <c r="D11" s="26"/>
      <c r="E11" s="24"/>
      <c r="F11" s="31"/>
      <c r="I11" s="7"/>
    </row>
    <row r="12" spans="1:9" s="3" customFormat="1" ht="36" customHeight="1" x14ac:dyDescent="0.15">
      <c r="A12" s="32" t="str">
        <f>VLOOKUP(LEFT($A13,4),'Auto Responses'!$N$4:$O$38,2,0)&amp;""</f>
        <v xml:space="preserve"> General Information</v>
      </c>
      <c r="B12" s="19"/>
      <c r="C12" s="33"/>
      <c r="D12" s="34"/>
      <c r="E12" s="35"/>
      <c r="F12" s="35"/>
      <c r="I12" s="7"/>
    </row>
    <row r="13" spans="1:9" s="3" customFormat="1" ht="21.75" customHeight="1" x14ac:dyDescent="0.15">
      <c r="A13" s="36" t="s">
        <v>4</v>
      </c>
      <c r="B13" s="37" t="str">
        <f>VLOOKUP($A13,Questions!$A$2:$X$333,2,0)&amp;""</f>
        <v>Solution Provider Name</v>
      </c>
      <c r="C13" s="38" t="s">
        <v>5</v>
      </c>
      <c r="D13" s="39"/>
      <c r="E13" s="39"/>
      <c r="F13" s="17"/>
      <c r="I13" s="7"/>
    </row>
    <row r="14" spans="1:9" s="3" customFormat="1" ht="21.75" customHeight="1" x14ac:dyDescent="0.15">
      <c r="A14" s="36" t="s">
        <v>6</v>
      </c>
      <c r="B14" s="37" t="str">
        <f>VLOOKUP($A14,Questions!$A$2:$X$333,2,0)&amp;""</f>
        <v>Solution Name</v>
      </c>
      <c r="C14" s="38" t="s">
        <v>1982</v>
      </c>
      <c r="D14" s="39"/>
      <c r="E14" s="40"/>
      <c r="F14" s="17"/>
      <c r="I14" s="7"/>
    </row>
    <row r="15" spans="1:9" s="3" customFormat="1" ht="21.75" customHeight="1" x14ac:dyDescent="0.15">
      <c r="A15" s="36" t="s">
        <v>7</v>
      </c>
      <c r="B15" s="37" t="str">
        <f>VLOOKUP($A15,Questions!$A$2:$X$333,2,0)&amp;""</f>
        <v>Solution Description</v>
      </c>
      <c r="C15" s="38" t="s">
        <v>8</v>
      </c>
      <c r="D15" s="39"/>
      <c r="E15" s="40"/>
      <c r="F15" s="17"/>
      <c r="I15" s="7"/>
    </row>
    <row r="16" spans="1:9" s="3" customFormat="1" ht="21.75" customHeight="1" x14ac:dyDescent="0.15">
      <c r="A16" s="36" t="s">
        <v>9</v>
      </c>
      <c r="B16" s="37" t="str">
        <f>VLOOKUP($A16,Questions!$A$2:$X$333,2,0)&amp;""</f>
        <v>Solution Provider Contact Name</v>
      </c>
      <c r="C16" s="38" t="s">
        <v>10</v>
      </c>
      <c r="D16" s="39"/>
      <c r="E16" s="40"/>
      <c r="F16" s="17"/>
      <c r="I16" s="7"/>
    </row>
    <row r="17" spans="1:9" s="3" customFormat="1" ht="21.75" customHeight="1" x14ac:dyDescent="0.15">
      <c r="A17" s="36" t="s">
        <v>11</v>
      </c>
      <c r="B17" s="37" t="str">
        <f>VLOOKUP($A17,Questions!$A$2:$X$333,2,0)&amp;""</f>
        <v>Solution Provider Contact Title</v>
      </c>
      <c r="C17" s="38" t="s">
        <v>12</v>
      </c>
      <c r="D17" s="5"/>
      <c r="E17" s="40"/>
      <c r="F17" s="17"/>
      <c r="I17" s="7"/>
    </row>
    <row r="18" spans="1:9" s="3" customFormat="1" ht="21.75" customHeight="1" x14ac:dyDescent="0.15">
      <c r="A18" s="36" t="s">
        <v>13</v>
      </c>
      <c r="B18" s="37" t="str">
        <f>VLOOKUP($A18,Questions!$A$2:$X$333,2,0)&amp;""</f>
        <v>Solution Provider Contact Email</v>
      </c>
      <c r="C18" s="38" t="s">
        <v>14</v>
      </c>
      <c r="D18" s="39"/>
      <c r="E18" s="40"/>
      <c r="F18" s="17"/>
      <c r="I18" s="7"/>
    </row>
    <row r="19" spans="1:9" s="3" customFormat="1" ht="21.75" customHeight="1" x14ac:dyDescent="0.15">
      <c r="A19" s="36" t="s">
        <v>15</v>
      </c>
      <c r="B19" s="37" t="str">
        <f>VLOOKUP($A19,Questions!$A$2:$X$333,2,0)&amp;""</f>
        <v>Solution Provider Contact Phone Number</v>
      </c>
      <c r="C19" s="38" t="s">
        <v>16</v>
      </c>
      <c r="D19" s="39"/>
      <c r="E19" s="40"/>
      <c r="F19" s="17"/>
      <c r="I19" s="7"/>
    </row>
    <row r="20" spans="1:9" s="3" customFormat="1" ht="21.75" customHeight="1" x14ac:dyDescent="0.15">
      <c r="A20" s="36" t="s">
        <v>17</v>
      </c>
      <c r="B20" s="37" t="str">
        <f>VLOOKUP($A20,Questions!$A$2:$X$333,2,0)&amp;""</f>
        <v>Country of Company Headquarters</v>
      </c>
      <c r="C20" s="38" t="s">
        <v>18</v>
      </c>
      <c r="D20" s="39"/>
      <c r="E20" s="40"/>
      <c r="F20" s="17"/>
      <c r="I20" s="7"/>
    </row>
    <row r="21" spans="1:9" s="3" customFormat="1" ht="21.75" customHeight="1" x14ac:dyDescent="0.15">
      <c r="A21" s="36" t="s">
        <v>19</v>
      </c>
      <c r="B21" s="37" t="str">
        <f>VLOOKUP($A21,Questions!$A$2:$X$333,2,0)&amp;""</f>
        <v>Employee Work Locations (all)</v>
      </c>
      <c r="C21" s="38" t="s">
        <v>20</v>
      </c>
      <c r="D21" s="39"/>
      <c r="E21" s="40"/>
      <c r="F21" s="17"/>
      <c r="I21" s="7"/>
    </row>
    <row r="22" spans="1:9" s="3" customFormat="1" ht="36.75" customHeight="1" x14ac:dyDescent="0.15">
      <c r="A22" s="32" t="str">
        <f>VLOOKUP(LEFT($A23,4),'Auto Responses'!$N$4:$O$38,2,0)&amp;""</f>
        <v xml:space="preserve"> Company Information</v>
      </c>
      <c r="B22" s="41"/>
      <c r="C22" s="20" t="s">
        <v>21</v>
      </c>
      <c r="D22" s="20" t="s">
        <v>22</v>
      </c>
      <c r="E22" s="42" t="s">
        <v>23</v>
      </c>
      <c r="F22" s="43" t="s">
        <v>24</v>
      </c>
      <c r="I22" s="7"/>
    </row>
    <row r="23" spans="1:9" s="3" customFormat="1" ht="55.5" customHeight="1" x14ac:dyDescent="0.15">
      <c r="A23" s="36" t="s">
        <v>25</v>
      </c>
      <c r="B23" s="44" t="str">
        <f>VLOOKUP($A23,Questions!$A$2:$X$333,2,0)&amp;""</f>
        <v>Do you have a dedicated software and system development team(s) (e.g., customer support, implementation, product management, etc.)?*</v>
      </c>
      <c r="C23" s="45" t="s">
        <v>26</v>
      </c>
      <c r="D23" s="46"/>
      <c r="E23" s="47" t="str">
        <f>IF($C23='Auto Responses'!$J$3,VLOOKUP($A23,Questions!$A$2:$X$333,17,0)&amp;"",IF($C23='Auto Responses'!$J$4,VLOOKUP($A23,Questions!$A$2:$X$333,16,0)&amp;"",IF($C23='Auto Responses'!$J$5,VLOOKUP($A23,Questions!$A$2:$X$333,18,0)&amp;"",VLOOKUP($A23,Questions!$A$2:$X$333,15,0)&amp;"")))</f>
        <v>Describe any plans to create a dedicated software and system development team.</v>
      </c>
      <c r="F23" s="48" t="str">
        <f>VLOOKUP($A23,'Institution Evaluation'!$A$56:$F$345,6,0)&amp;""</f>
        <v/>
      </c>
      <c r="I23" s="7"/>
    </row>
    <row r="24" spans="1:9" s="3" customFormat="1" ht="27" customHeight="1" x14ac:dyDescent="0.15">
      <c r="A24" s="36" t="s">
        <v>27</v>
      </c>
      <c r="B24" s="44" t="str">
        <f>VLOOKUP($A24,Questions!$A$2:$X$333,2,0)&amp;""</f>
        <v>Describe your organization’s business background and ownership structure, including all parent and subsidiary relationships.</v>
      </c>
      <c r="C24" s="49" t="s">
        <v>28</v>
      </c>
      <c r="D24" s="50"/>
      <c r="E24" s="47" t="str">
        <f>IF($C24='Auto Responses'!$J$3,VLOOKUP($A24,Questions!$A$2:$X$333,17,0)&amp;"",IF($C24='Auto Responses'!$J$4,VLOOKUP($A24,Questions!$A$2:$X$333,16,0)&amp;"",VLOOKUP($A24,Questions!$A$2:$X$333,15,0)&amp;""))</f>
        <v>Include circumstances that may involve offshoring or multinational agreements.</v>
      </c>
      <c r="F24" s="48" t="str">
        <f>VLOOKUP($A24,'Institution Evaluation'!$A$56:$F$345,6,0)&amp;""</f>
        <v/>
      </c>
      <c r="I24" s="7"/>
    </row>
    <row r="25" spans="1:9" s="3" customFormat="1" ht="39.75" customHeight="1" x14ac:dyDescent="0.15">
      <c r="A25" s="36" t="s">
        <v>29</v>
      </c>
      <c r="B25" s="44" t="str">
        <f>VLOOKUP($A25,Questions!$A$2:$X$333,2,0)&amp;""</f>
        <v>Have you operated without unplanned disruptions to this solution in the past 12 months?</v>
      </c>
      <c r="C25" s="45" t="s">
        <v>30</v>
      </c>
      <c r="D25" s="46" t="s">
        <v>31</v>
      </c>
      <c r="E25" s="47" t="str">
        <f>IF($C25='Auto Responses'!$J$3,VLOOKUP($A25,Questions!$A$2:$X$333,17,0)&amp;"",IF($C25='Auto Responses'!$J$4,VLOOKUP($A25,Questions!$A$2:$X$333,16,0)&amp;"",VLOOKUP($A25,Questions!$A$2:$X$333,15,0)&amp;""))</f>
        <v/>
      </c>
      <c r="F25" s="48" t="str">
        <f>VLOOKUP($A25,'Institution Evaluation'!$A$56:$F$345,6,0)&amp;""</f>
        <v/>
      </c>
      <c r="I25" s="7"/>
    </row>
    <row r="26" spans="1:9" s="3" customFormat="1" ht="49.5" customHeight="1" x14ac:dyDescent="0.15">
      <c r="A26" s="36" t="s">
        <v>32</v>
      </c>
      <c r="B26" s="44" t="str">
        <f>VLOOKUP($A26,Questions!$A$2:$X$333,2,0)&amp;""</f>
        <v>Do you have a dedicated information security staff or office?</v>
      </c>
      <c r="C26" s="45" t="s">
        <v>26</v>
      </c>
      <c r="D26" s="46"/>
      <c r="E26" s="47" t="str">
        <f>IF($C26='Auto Responses'!$J$3,VLOOKUP($A26,Questions!$A$2:$X$333,17,0)&amp;"",IF($C26='Auto Responses'!$J$4,VLOOKUP($A26,Questions!$A$2:$X$333,16,0)&amp;"",VLOOKUP($A26,Questions!$A$2:$X$333,15,0)&amp;""))</f>
        <v>Describe any plans to create an information security office for your organization.</v>
      </c>
      <c r="F26" s="48" t="str">
        <f>VLOOKUP($A26,'Institution Evaluation'!$A$56:$F$345,6,0)&amp;""</f>
        <v/>
      </c>
      <c r="I26" s="7"/>
    </row>
    <row r="27" spans="1:9" s="3" customFormat="1" ht="40.5" customHeight="1" x14ac:dyDescent="0.15">
      <c r="A27" s="36" t="s">
        <v>33</v>
      </c>
      <c r="B27" s="44" t="str">
        <f>VLOOKUP($A27,Questions!$A$2:$X$333,2,0)&amp;""</f>
        <v>Use this area to share information about your environment that will assist those who are assessing your company's data security program.</v>
      </c>
      <c r="C27" s="51" t="s">
        <v>34</v>
      </c>
      <c r="D27" s="50"/>
      <c r="E27" s="47" t="str">
        <f>IF($C27='Auto Responses'!$J$3,VLOOKUP($A27,Questions!$A$2:$X$333,17,0)&amp;"",IF($C27='Auto Responses'!$J$4,VLOOKUP($A27,Questions!$A$2:$X$333,16,0)&amp;"",VLOOKUP($A27,Questions!$A$2:$X$333,15,0)&amp;""))</f>
        <v>Share any details that would help information security analysts assess your solution.</v>
      </c>
      <c r="F27" s="48" t="str">
        <f>VLOOKUP($A27,'Institution Evaluation'!$A$56:$F$345,6,0)&amp;""</f>
        <v/>
      </c>
      <c r="G27" s="52" t="s">
        <v>35</v>
      </c>
      <c r="I27" s="7"/>
    </row>
    <row r="28" spans="1:9" s="3" customFormat="1" ht="36.75" customHeight="1" x14ac:dyDescent="0.15">
      <c r="A28" s="32" t="str">
        <f>VLOOKUP(LEFT($A29,4),'Auto Responses'!$N$4:$O$38,2,0)&amp;""</f>
        <v xml:space="preserve"> Required Questions</v>
      </c>
      <c r="B28" s="41"/>
      <c r="C28" s="20" t="s">
        <v>21</v>
      </c>
      <c r="D28" s="20" t="s">
        <v>22</v>
      </c>
      <c r="E28" s="42" t="s">
        <v>23</v>
      </c>
      <c r="F28" s="53" t="s">
        <v>24</v>
      </c>
      <c r="I28" s="7"/>
    </row>
    <row r="29" spans="1:9" s="3" customFormat="1" ht="48" customHeight="1" x14ac:dyDescent="0.15">
      <c r="A29" s="36" t="s">
        <v>36</v>
      </c>
      <c r="B29" s="44" t="str">
        <f>VLOOKUP($A29,Questions!$A$2:$X$333,2,0)&amp;""</f>
        <v>Are you offering a cloud-based product?</v>
      </c>
      <c r="C29" s="45" t="s">
        <v>26</v>
      </c>
      <c r="D29" s="54" t="s">
        <v>37</v>
      </c>
      <c r="E29" s="47" t="str">
        <f>IF($C29='Auto Responses'!$J$3,VLOOKUP($A29,Questions!$A$2:$X$333,17,0)&amp;"",IF($C29='Auto Responses'!$J$4,VLOOKUP($A29,Questions!$A$2:$X$333,16,0)&amp;"",VLOOKUP($A29,Questions!$A$2:$X$333,15,0)&amp;""))</f>
        <v>DO NOT complete the Product and Infrastructure worksheets</v>
      </c>
      <c r="F29" s="48" t="str">
        <f>VLOOKUP($A29,'Institution Evaluation'!$A$56:$F$345,6,0)&amp;""</f>
        <v/>
      </c>
      <c r="I29" s="7"/>
    </row>
    <row r="30" spans="1:9" s="3" customFormat="1" ht="58.5" customHeight="1" x14ac:dyDescent="0.15">
      <c r="A30" s="36" t="s">
        <v>38</v>
      </c>
      <c r="B30" s="44" t="str">
        <f>VLOOKUP($A30,Questions!$A$2:$X$333,2,0)&amp;""</f>
        <v>Does your product or service have an interface?</v>
      </c>
      <c r="C30" s="45" t="s">
        <v>30</v>
      </c>
      <c r="D30" s="54" t="s">
        <v>39</v>
      </c>
      <c r="E30" s="47" t="str">
        <f>IF($C30='Auto Responses'!$J$3,VLOOKUP($A30,Questions!$A$2:$X$333,17,0)&amp;"",IF($C30='Auto Responses'!$J$4,VLOOKUP($A30,Questions!$A$2:$X$333,16,0)&amp;"",VLOOKUP($A30,Questions!$A$2:$X$333,15,0)&amp;""))</f>
        <v>DO complete the IT Accessibility worksheet.</v>
      </c>
      <c r="F30" s="48" t="str">
        <f>VLOOKUP($A30,'Institution Evaluation'!$A$56:$F$345,6,0)&amp;""</f>
        <v/>
      </c>
      <c r="I30" s="7"/>
    </row>
    <row r="31" spans="1:9" s="3" customFormat="1" ht="54" customHeight="1" x14ac:dyDescent="0.15">
      <c r="A31" s="36" t="s">
        <v>40</v>
      </c>
      <c r="B31" s="44" t="str">
        <f>VLOOKUP($A31,Questions!$A$2:$X$333,2,0)&amp;""</f>
        <v>Are you providing consulting services?</v>
      </c>
      <c r="C31" s="45" t="s">
        <v>26</v>
      </c>
      <c r="D31" s="54" t="s">
        <v>41</v>
      </c>
      <c r="E31" s="47" t="str">
        <f>IF($C31='Auto Responses'!$J$3,VLOOKUP($A31,Questions!$A$2:$X$333,17,0)&amp;"",IF($C31='Auto Responses'!$J$4,VLOOKUP($A31,Questions!$A$2:$X$333,16,0)&amp;"",VLOOKUP($A31,Questions!$A$2:$X$333,15,0)&amp;""))</f>
        <v>DO NOT complete the Consulting section in the Case-Specific worksheet</v>
      </c>
      <c r="F31" s="48" t="str">
        <f>VLOOKUP($A31,'Institution Evaluation'!$A$56:$F$345,6,0)&amp;""</f>
        <v/>
      </c>
      <c r="I31" s="7"/>
    </row>
    <row r="32" spans="1:9" s="3" customFormat="1" ht="54" customHeight="1" x14ac:dyDescent="0.15">
      <c r="A32" s="36" t="s">
        <v>42</v>
      </c>
      <c r="B32" s="44" t="str">
        <f>VLOOKUP($A32,Questions!$A$2:$X$333,2,0)&amp;""</f>
        <v>Does your solution have AI features, or are there plans to implement AI features in the next 12 months?</v>
      </c>
      <c r="C32" s="45" t="s">
        <v>26</v>
      </c>
      <c r="D32" s="54" t="s">
        <v>43</v>
      </c>
      <c r="E32" s="47" t="str">
        <f>IF($C32='Auto Responses'!$J$3,VLOOKUP($A32,Questions!$A$2:$X$333,17,0)&amp;"",IF($C32='Auto Responses'!$J$4,VLOOKUP($A32,Questions!$A$2:$X$333,16,0)&amp;"",VLOOKUP($A32,Questions!$A$2:$X$333,15,0)&amp;""))</f>
        <v>DO NOT complete the Artificial Intelligence (AI) worksheet</v>
      </c>
      <c r="F32" s="48" t="str">
        <f>VLOOKUP($A32,'Institution Evaluation'!$A$56:$F$345,6,0)&amp;""</f>
        <v/>
      </c>
      <c r="I32" s="7"/>
    </row>
    <row r="33" spans="1:10" s="3" customFormat="1" ht="54" customHeight="1" x14ac:dyDescent="0.15">
      <c r="A33" s="36" t="s">
        <v>44</v>
      </c>
      <c r="B33" s="44" t="str">
        <f>VLOOKUP($A33,Questions!$A$2:$X$333,2,0)&amp;""</f>
        <v>Does your solution process protected health information (PHI) or any data covered by the Health Insurance Portability and Accountability Act (HIPAA)?</v>
      </c>
      <c r="C33" s="45" t="s">
        <v>26</v>
      </c>
      <c r="D33" s="54" t="s">
        <v>45</v>
      </c>
      <c r="E33" s="47" t="str">
        <f>IF($C33='Auto Responses'!$J$3,VLOOKUP($A33,Questions!$A$2:$X$333,17,0)&amp;"",IF($C33='Auto Responses'!$J$4,VLOOKUP($A33,Questions!$A$2:$X$333,16,0)&amp;"",VLOOKUP($A33,Questions!$A$2:$X$333,15,0)&amp;""))</f>
        <v>DO NOT complete the HIPAA section in the Case-Specific worksheet</v>
      </c>
      <c r="F33" s="48" t="str">
        <f>VLOOKUP($A33,'Institution Evaluation'!$A$56:$F$345,6,0)&amp;""</f>
        <v/>
      </c>
      <c r="I33" s="7"/>
    </row>
    <row r="34" spans="1:10" s="3" customFormat="1" ht="54" customHeight="1" x14ac:dyDescent="0.15">
      <c r="A34" s="36" t="s">
        <v>46</v>
      </c>
      <c r="B34" s="44" t="str">
        <f>VLOOKUP($A34,Questions!$A$2:$X$333,2,0)&amp;""</f>
        <v>Is the solution designed to process, store, or transmit credit card information?</v>
      </c>
      <c r="C34" s="45" t="s">
        <v>26</v>
      </c>
      <c r="D34" s="54" t="s">
        <v>47</v>
      </c>
      <c r="E34" s="47" t="str">
        <f>IF($C34='Auto Responses'!$J$3,VLOOKUP($A34,Questions!$A$2:$X$333,17,0)&amp;"",IF($C34='Auto Responses'!$J$4,VLOOKUP($A34,Questions!$A$2:$X$333,16,0)&amp;"",VLOOKUP($A34,Questions!$A$2:$X$333,15,0)&amp;""))</f>
        <v>DO NOT complete the PCI-DSS section in the Case-Specific worksheet</v>
      </c>
      <c r="F34" s="48" t="str">
        <f>VLOOKUP($A34,'Institution Evaluation'!$A$56:$F$345,6,0)&amp;""</f>
        <v/>
      </c>
      <c r="I34" s="7"/>
    </row>
    <row r="35" spans="1:10" s="3" customFormat="1" ht="66" customHeight="1" x14ac:dyDescent="0.15">
      <c r="A35" s="36" t="s">
        <v>48</v>
      </c>
      <c r="B35" s="44"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45" t="s">
        <v>26</v>
      </c>
      <c r="D35" s="54" t="s">
        <v>49</v>
      </c>
      <c r="E35" s="47" t="str">
        <f>IF($C35='Auto Responses'!$J$3,VLOOKUP($A35,Questions!$A$2:$X$333,17,0)&amp;"",IF($C35='Auto Responses'!$J$4,VLOOKUP($A35,Questions!$A$2:$X$333,16,0)&amp;"",VLOOKUP($A35,Questions!$A$2:$X$333,15,0)&amp;""))</f>
        <v>DO NOT complete the On-Prem section in the Case-Specific worksheet</v>
      </c>
      <c r="F35" s="48" t="str">
        <f>VLOOKUP($A35,'Institution Evaluation'!$A$56:$F$345,6,0)&amp;""</f>
        <v/>
      </c>
      <c r="I35" s="7"/>
    </row>
    <row r="36" spans="1:10" s="3" customFormat="1" ht="63.75" customHeight="1" x14ac:dyDescent="0.15">
      <c r="A36" s="55" t="s">
        <v>50</v>
      </c>
      <c r="B36" s="44" t="str">
        <f>VLOOKUP($A36,Questions!$A$2:$X$333,2,0)&amp;""</f>
        <v>Does your solution have access to personal or institutional data?</v>
      </c>
      <c r="C36" s="45" t="s">
        <v>30</v>
      </c>
      <c r="D36" s="54" t="s">
        <v>51</v>
      </c>
      <c r="E36" s="47" t="str">
        <f>IF($C36='Auto Responses'!$J$3,VLOOKUP($A36,Questions!$A$2:$X$333,17,0)&amp;"",IF($C36='Auto Responses'!$J$4,VLOOKUP($A36,Questions!$A$2:$X$333,16,0)&amp;"",VLOOKUP($A36,Questions!$A$2:$X$333,15,0)&amp;""))</f>
        <v>DO complete the Privacy tab</v>
      </c>
      <c r="F36" s="48" t="str">
        <f>VLOOKUP($A36,'Institution Evaluation'!$A$56:$F$345,6,0)&amp;""</f>
        <v/>
      </c>
      <c r="G36" s="52" t="s">
        <v>35</v>
      </c>
      <c r="H36" s="7"/>
      <c r="J36" s="7"/>
    </row>
    <row r="37" spans="1:10" s="3" customFormat="1" ht="63.75" customHeight="1" x14ac:dyDescent="0.15">
      <c r="A37" s="56" t="s">
        <v>52</v>
      </c>
      <c r="B37" s="57"/>
      <c r="C37" s="58"/>
      <c r="D37" s="59"/>
      <c r="E37" s="60"/>
      <c r="F37" s="61"/>
      <c r="G37" s="62"/>
      <c r="H37" s="7"/>
      <c r="J37" s="7"/>
    </row>
    <row r="38" spans="1:10" ht="24.75" customHeight="1" x14ac:dyDescent="0.2">
      <c r="A38" s="63" t="s">
        <v>53</v>
      </c>
    </row>
    <row r="39" spans="1:10" ht="15" hidden="1" customHeight="1" x14ac:dyDescent="0.2"/>
    <row r="74" ht="15" hidden="1" customHeight="1" x14ac:dyDescent="0.2"/>
    <row r="7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1:B1 B2:F2 A3:B38 C4:F12 C22:F22 E23:F27 C28:F28 E29:F36" xr:uid="{00000000-0002-0000-0000-000000000000}">
      <formula1>0</formula1>
      <formula2>0</formula2>
    </dataValidation>
    <dataValidation allowBlank="1" showInputMessage="1" showErrorMessage="1" prompt="This cell should be left blank. Input your answer in column C." sqref="D3:F3 D13:F16 E17:F17 D18:F21 D24 D27" xr:uid="{00000000-0002-0000-0000-000001000000}">
      <formula1>0</formula1>
      <formula2>0</formula2>
    </dataValidation>
  </dataValidations>
  <hyperlinks>
    <hyperlink ref="A11" r:id="rId1" display="http://www.educause.edu/HECVAT"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36C"/>
  </sheetPr>
  <dimension ref="A1:L112"/>
  <sheetViews>
    <sheetView showGridLines="0" topLeftCell="A55" workbookViewId="0"/>
  </sheetViews>
  <sheetFormatPr baseColWidth="10" defaultColWidth="0" defaultRowHeight="16" x14ac:dyDescent="0.2"/>
  <cols>
    <col min="1" max="1" width="8.25" style="2" customWidth="1"/>
    <col min="2" max="2" width="55.125" style="3" customWidth="1"/>
    <col min="3" max="3" width="18.875" style="4" customWidth="1"/>
    <col min="4" max="4" width="55.625" style="5" customWidth="1"/>
    <col min="5" max="5" width="32" style="6" customWidth="1"/>
    <col min="6" max="6" width="30.625" style="3" customWidth="1"/>
    <col min="7" max="7" width="18" style="3" customWidth="1"/>
    <col min="8" max="8" width="18" style="3" hidden="1" customWidth="1"/>
    <col min="9" max="10" width="18" style="7" hidden="1" customWidth="1"/>
    <col min="11" max="11" width="4.5" style="3" hidden="1" customWidth="1"/>
    <col min="12" max="12" width="6.625" style="3" hidden="1"/>
    <col min="13" max="16384" width="6.625" style="2" hidden="1"/>
  </cols>
  <sheetData>
    <row r="1" spans="1:10" ht="221" hidden="1" x14ac:dyDescent="0.2">
      <c r="A1" t="s">
        <v>0</v>
      </c>
    </row>
    <row r="2" spans="1:10" ht="36" customHeight="1" x14ac:dyDescent="0.2">
      <c r="A2" s="8" t="s">
        <v>54</v>
      </c>
      <c r="B2" s="8"/>
      <c r="C2" s="9"/>
      <c r="D2" s="10"/>
      <c r="E2" s="11"/>
      <c r="F2" s="11" t="str">
        <f>'Auto Responses'!$A$36</f>
        <v>Version 4.1.6</v>
      </c>
      <c r="J2" s="3"/>
    </row>
    <row r="3" spans="1:10" s="3" customFormat="1" ht="28.5" customHeight="1" x14ac:dyDescent="0.15">
      <c r="A3" s="12" t="s">
        <v>2</v>
      </c>
      <c r="B3" s="13">
        <v>46282</v>
      </c>
      <c r="C3" s="64">
        <f>'START HERE'!$C$3</f>
        <v>0</v>
      </c>
      <c r="D3" s="15"/>
      <c r="E3" s="16"/>
      <c r="F3" s="17"/>
      <c r="I3" s="7"/>
    </row>
    <row r="4" spans="1:10" s="3" customFormat="1" ht="36" customHeight="1" x14ac:dyDescent="0.15">
      <c r="A4" s="18" t="s">
        <v>3</v>
      </c>
      <c r="B4" s="19"/>
      <c r="C4" s="20"/>
      <c r="D4" s="21"/>
      <c r="E4" s="22"/>
      <c r="F4" s="22"/>
      <c r="I4" s="7"/>
    </row>
    <row r="5" spans="1:10"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10"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10"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10" s="3" customFormat="1" ht="19.5" customHeight="1" x14ac:dyDescent="0.15">
      <c r="A8" s="23" t="str">
        <f>HLOOKUP($A$4,'Auto Responses'!$D$2:$D$8,5,0)&amp;""</f>
        <v>4. DO NOT complete any fields in the "Evaluation" sheets or the "Analyst Notes" column.</v>
      </c>
      <c r="B8" s="24"/>
      <c r="C8" s="25"/>
      <c r="D8" s="26"/>
      <c r="E8" s="24"/>
      <c r="F8" s="28"/>
      <c r="I8" s="7"/>
    </row>
    <row r="9" spans="1:10" s="3" customFormat="1" ht="19.5" customHeight="1" x14ac:dyDescent="0.15">
      <c r="A9" s="23" t="str">
        <f>HLOOKUP($A$4,'Auto Responses'!$D$2:$D$8,6,0)&amp;""</f>
        <v>5. Return the completed file to institutions.</v>
      </c>
      <c r="B9" s="24"/>
      <c r="C9" s="25"/>
      <c r="D9" s="26"/>
      <c r="E9" s="24"/>
      <c r="F9" s="28"/>
      <c r="I9" s="7"/>
    </row>
    <row r="10" spans="1:10"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10" s="68" customFormat="1" ht="19.5" customHeight="1" x14ac:dyDescent="0.15">
      <c r="A11" s="30" t="str">
        <f>HLOOKUP($A$4,'Auto Responses'!$D$2:$D$9,8,0)&amp;""</f>
        <v>For full instructions, please visit educause.edu/HECVAT</v>
      </c>
      <c r="B11" s="29"/>
      <c r="C11" s="65"/>
      <c r="D11" s="66"/>
      <c r="E11" s="29"/>
      <c r="F11" s="67"/>
      <c r="I11" s="69"/>
    </row>
    <row r="12" spans="1:10" s="3" customFormat="1" ht="36" customHeight="1" x14ac:dyDescent="0.15">
      <c r="A12" s="32" t="str">
        <f>VLOOKUP(LEFT($A13,4),'Auto Responses'!$N$4:$O$38,2,0)&amp;""</f>
        <v xml:space="preserve"> General Information</v>
      </c>
      <c r="B12" s="19"/>
      <c r="C12" s="20" t="s">
        <v>21</v>
      </c>
      <c r="D12" s="34"/>
      <c r="E12" s="35"/>
      <c r="F12" s="35"/>
      <c r="I12" s="7"/>
      <c r="J12" s="7"/>
    </row>
    <row r="13" spans="1:10" s="3" customFormat="1" ht="21.75" customHeight="1" x14ac:dyDescent="0.15">
      <c r="A13" s="36" t="s">
        <v>4</v>
      </c>
      <c r="B13" s="37" t="str">
        <f>VLOOKUP($A13,Questions!$A$2:$X$333,2,0)&amp;""</f>
        <v>Solution Provider Name</v>
      </c>
      <c r="C13" s="38" t="str">
        <f>VLOOKUP($A13,'START HERE'!$A$13:$C$21,3,0)&amp;""</f>
        <v>SmartPLS GmbH</v>
      </c>
      <c r="D13" s="39"/>
      <c r="E13" s="39"/>
      <c r="F13" s="17"/>
      <c r="I13" s="7"/>
      <c r="J13" s="7"/>
    </row>
    <row r="14" spans="1:10" s="3" customFormat="1" ht="21.75" customHeight="1" x14ac:dyDescent="0.15">
      <c r="A14" s="36" t="s">
        <v>6</v>
      </c>
      <c r="B14" s="37" t="str">
        <f>VLOOKUP($A14,Questions!$A$2:$X$333,2,0)&amp;""</f>
        <v>Solution Name</v>
      </c>
      <c r="C14" s="38" t="str">
        <f>VLOOKUP($A14,'START HERE'!$A$13:$C$21,3,0)&amp;""</f>
        <v>SmartPLS 4.1.1.9 (SmartPLS Desktop)</v>
      </c>
      <c r="D14" s="39"/>
      <c r="E14" s="39"/>
      <c r="F14" s="17"/>
      <c r="I14" s="7"/>
      <c r="J14" s="7"/>
    </row>
    <row r="15" spans="1:10" s="3" customFormat="1" ht="21.75" customHeight="1" x14ac:dyDescent="0.15">
      <c r="A15" s="36" t="s">
        <v>7</v>
      </c>
      <c r="B15" s="37"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39"/>
      <c r="E15" s="39"/>
      <c r="F15" s="17"/>
      <c r="I15" s="7"/>
      <c r="J15" s="7"/>
    </row>
    <row r="16" spans="1:10" s="3" customFormat="1" ht="21.75" customHeight="1" x14ac:dyDescent="0.15">
      <c r="A16" s="36" t="s">
        <v>9</v>
      </c>
      <c r="B16" s="37" t="str">
        <f>VLOOKUP($A16,Questions!$A$2:$X$333,2,0)&amp;""</f>
        <v>Solution Provider Contact Name</v>
      </c>
      <c r="C16" s="38" t="str">
        <f>VLOOKUP($A16,'START HERE'!$A$13:$C$21,3,0)&amp;""</f>
        <v>Sven Wende</v>
      </c>
      <c r="D16" s="39"/>
      <c r="E16" s="39"/>
      <c r="F16" s="17"/>
      <c r="I16" s="7"/>
      <c r="J16" s="7"/>
    </row>
    <row r="17" spans="1:10" s="3" customFormat="1" ht="21.75" customHeight="1" x14ac:dyDescent="0.15">
      <c r="A17" s="36" t="s">
        <v>11</v>
      </c>
      <c r="B17" s="37" t="str">
        <f>VLOOKUP($A17,Questions!$A$2:$X$333,2,0)&amp;""</f>
        <v>Solution Provider Contact Title</v>
      </c>
      <c r="C17" s="38" t="str">
        <f>VLOOKUP($A17,'START HERE'!$A$13:$C$21,3,0)&amp;""</f>
        <v>Co-Founder &amp; Managing Director</v>
      </c>
      <c r="D17" s="39"/>
      <c r="E17" s="39"/>
      <c r="F17" s="17"/>
      <c r="I17" s="7"/>
      <c r="J17" s="7"/>
    </row>
    <row r="18" spans="1:10" s="3" customFormat="1" ht="21.75" customHeight="1" x14ac:dyDescent="0.15">
      <c r="A18" s="36" t="s">
        <v>13</v>
      </c>
      <c r="B18" s="37" t="str">
        <f>VLOOKUP($A18,Questions!$A$2:$X$333,2,0)&amp;""</f>
        <v>Solution Provider Contact Email</v>
      </c>
      <c r="C18" s="38" t="str">
        <f>VLOOKUP($A18,'START HERE'!$A$13:$C$21,3,0)&amp;""</f>
        <v>s.wende@smartpls.gmbh</v>
      </c>
      <c r="D18" s="39"/>
      <c r="E18" s="39"/>
      <c r="F18" s="17"/>
      <c r="I18" s="7"/>
      <c r="J18" s="7"/>
    </row>
    <row r="19" spans="1:10" s="3" customFormat="1" ht="21.75" customHeight="1" x14ac:dyDescent="0.15">
      <c r="A19" s="36" t="s">
        <v>15</v>
      </c>
      <c r="B19" s="37" t="str">
        <f>VLOOKUP($A19,Questions!$A$2:$X$333,2,0)&amp;""</f>
        <v>Solution Provider Contact Phone Number</v>
      </c>
      <c r="C19" s="38" t="str">
        <f>VLOOKUP($A19,'START HERE'!$A$13:$C$21,3,0)&amp;""</f>
        <v>+49 02173 2643460</v>
      </c>
      <c r="D19" s="39"/>
      <c r="E19" s="39"/>
      <c r="F19" s="17"/>
      <c r="I19" s="7"/>
      <c r="J19" s="7"/>
    </row>
    <row r="20" spans="1:10" s="3" customFormat="1" ht="21.75" customHeight="1" x14ac:dyDescent="0.15">
      <c r="A20" s="36" t="s">
        <v>17</v>
      </c>
      <c r="B20" s="37" t="str">
        <f>VLOOKUP($A20,Questions!$A$2:$X$333,2,0)&amp;""</f>
        <v>Country of Company Headquarters</v>
      </c>
      <c r="C20" s="38" t="str">
        <f>VLOOKUP($A20,'START HERE'!$A$13:$C$21,3,0)&amp;""</f>
        <v>Germany</v>
      </c>
      <c r="D20" s="39"/>
      <c r="E20" s="39"/>
      <c r="F20" s="17"/>
      <c r="I20" s="7"/>
      <c r="J20" s="7"/>
    </row>
    <row r="21" spans="1:10" s="3" customFormat="1" ht="36.75" customHeight="1" x14ac:dyDescent="0.15">
      <c r="A21" s="32" t="str">
        <f>VLOOKUP(LEFT($A22,4),'Auto Responses'!$N$4:$O$38,2,0)&amp;""</f>
        <v xml:space="preserve"> Documentation</v>
      </c>
      <c r="B21" s="41"/>
      <c r="C21" s="20" t="s">
        <v>21</v>
      </c>
      <c r="D21" s="20" t="s">
        <v>22</v>
      </c>
      <c r="E21" s="42" t="s">
        <v>23</v>
      </c>
      <c r="F21" s="53" t="s">
        <v>24</v>
      </c>
      <c r="I21" s="7"/>
      <c r="J21" s="7"/>
    </row>
    <row r="22" spans="1:10" s="3" customFormat="1" ht="38.25" customHeight="1" x14ac:dyDescent="0.15">
      <c r="A22" s="36" t="s">
        <v>55</v>
      </c>
      <c r="B22" s="44" t="str">
        <f>VLOOKUP($A22,Questions!$A$2:$X$333,2,0)</f>
        <v>Do you have a well-documented business continuity plan (BCP), with a clear owner, that is tested annually?*</v>
      </c>
      <c r="C22" s="45" t="s">
        <v>26</v>
      </c>
      <c r="D22" s="70"/>
      <c r="E22" s="47" t="str">
        <f>IF($C22='Auto Responses'!$J$3,VLOOKUP($A22,Questions!$A$2:$X$333,17,0)&amp;"",IF($C22='Auto Responses'!$J$4,VLOOKUP($A22,Questions!$A$2:$X$333,16,0)&amp;"",VLOOKUP($A22,Questions!$A$2:$X$333,15,0)&amp;""))</f>
        <v/>
      </c>
      <c r="F22" s="48" t="str">
        <f>VLOOKUP($A22,'Institution Evaluation'!$A$56:$F$345,6,0)&amp;""</f>
        <v/>
      </c>
      <c r="I22" s="7"/>
      <c r="J22" s="7"/>
    </row>
    <row r="23" spans="1:10" s="3" customFormat="1" ht="38.25" customHeight="1" x14ac:dyDescent="0.15">
      <c r="A23" s="36" t="s">
        <v>56</v>
      </c>
      <c r="B23" s="44" t="str">
        <f>VLOOKUP($A23,Questions!$A$2:$X$333,2,0)</f>
        <v>Do you have a well-documented disaster recovery plan (DRP), with a clear owner, that is tested annually?*</v>
      </c>
      <c r="C23" s="45" t="s">
        <v>26</v>
      </c>
      <c r="D23" s="70"/>
      <c r="E23" s="47" t="str">
        <f>IF($C23='Auto Responses'!$J$3,VLOOKUP($A23,Questions!$A$2:$X$333,17,0)&amp;"",IF($C23='Auto Responses'!$J$4,VLOOKUP($A23,Questions!$A$2:$X$333,16,0)&amp;"",VLOOKUP($A23,Questions!$A$2:$X$333,15,0)&amp;""))</f>
        <v/>
      </c>
      <c r="F23" s="48" t="str">
        <f>VLOOKUP($A23,'Institution Evaluation'!$A$56:$F$345,6,0)&amp;""</f>
        <v/>
      </c>
      <c r="I23" s="7"/>
      <c r="J23" s="7"/>
    </row>
    <row r="24" spans="1:10" s="3" customFormat="1" ht="45.75" customHeight="1" x14ac:dyDescent="0.15">
      <c r="A24" s="36" t="s">
        <v>57</v>
      </c>
      <c r="B24" s="44" t="str">
        <f>VLOOKUP($A24,Questions!$A$2:$X$333,2,0)</f>
        <v>Have you undergone a SSAE 18/SOC 2 audit?</v>
      </c>
      <c r="C24" s="45" t="s">
        <v>26</v>
      </c>
      <c r="D24" s="70"/>
      <c r="E24" s="47" t="str">
        <f>IF($C24='Auto Responses'!$J$3,VLOOKUP($A24,Questions!$A$2:$X$333,17,0)&amp;"",IF($C24='Auto Responses'!$J$4,VLOOKUP($A24,Questions!$A$2:$X$333,16,0)&amp;"",VLOOKUP($A24,Questions!$A$2:$X$333,15,0)&amp;""))</f>
        <v>Describe any plans to undergo a SSAE 18 audit.</v>
      </c>
      <c r="F24" s="48" t="str">
        <f>VLOOKUP($A24,'Institution Evaluation'!$A$56:$F$345,6,0)&amp;""</f>
        <v/>
      </c>
      <c r="I24" s="7"/>
      <c r="J24" s="7"/>
    </row>
    <row r="25" spans="1:10" s="3" customFormat="1" ht="48" customHeight="1" x14ac:dyDescent="0.15">
      <c r="A25" s="36" t="s">
        <v>58</v>
      </c>
      <c r="B25" s="44" t="str">
        <f>VLOOKUP($A25,Questions!$A$2:$X$333,2,0)</f>
        <v>Do you conform with a specific industry standard security framework (e.g., NIST Cybersecurity Framework, CIS Controls, ISO 27001, etc.)?</v>
      </c>
      <c r="C25" s="45" t="s">
        <v>26</v>
      </c>
      <c r="D25" s="70"/>
      <c r="E25" s="47" t="str">
        <f>IF($C25='Auto Responses'!$J$3,VLOOKUP($A25,Questions!$A$2:$X$333,17,0)&amp;"",IF($C25='Auto Responses'!$J$4,VLOOKUP($A25,Questions!$A$2:$X$333,16,0)&amp;"",VLOOKUP($A25,Questions!$A$2:$X$333,15,0)&amp;""))</f>
        <v>Describe any plans to conform to an industry standard security framework.</v>
      </c>
      <c r="F25" s="48" t="str">
        <f>VLOOKUP($A25,'Institution Evaluation'!$A$56:$F$345,6,0)&amp;""</f>
        <v/>
      </c>
      <c r="I25" s="7"/>
      <c r="J25" s="7"/>
    </row>
    <row r="26" spans="1:10" s="3" customFormat="1" ht="52.5" customHeight="1" x14ac:dyDescent="0.15">
      <c r="A26" s="36" t="s">
        <v>59</v>
      </c>
      <c r="B26" s="44" t="str">
        <f>VLOOKUP($A26,Questions!$A$2:$X$333,2,0)</f>
        <v>Can you provide overall system and/or application architecture diagrams, including a full description of the data flow for all components of the system?</v>
      </c>
      <c r="C26" s="45" t="s">
        <v>26</v>
      </c>
      <c r="D26" s="70"/>
      <c r="E26" s="47" t="str">
        <f>IF($C26='Auto Responses'!$J$3,VLOOKUP($A26,Questions!$A$2:$X$333,17,0)&amp;"",IF($C26='Auto Responses'!$J$4,VLOOKUP($A26,Questions!$A$2:$X$333,16,0)&amp;"",VLOOKUP($A26,Questions!$A$2:$X$333,15,0)&amp;""))</f>
        <v>Provide a detailed summary of overall system and/or application architecture.</v>
      </c>
      <c r="F26" s="48" t="str">
        <f>VLOOKUP($A26,'Institution Evaluation'!$A$56:$F$345,6,0)&amp;""</f>
        <v/>
      </c>
      <c r="I26" s="7"/>
      <c r="J26" s="7"/>
    </row>
    <row r="27" spans="1:10" s="3" customFormat="1" ht="55.5" customHeight="1" x14ac:dyDescent="0.15">
      <c r="A27" s="36" t="s">
        <v>60</v>
      </c>
      <c r="B27" s="44" t="str">
        <f>VLOOKUP($A27,Questions!$A$2:$X$333,2,0)</f>
        <v>Does your organization have a data privacy policy?</v>
      </c>
      <c r="C27" s="45" t="s">
        <v>30</v>
      </c>
      <c r="D27" s="70" t="s">
        <v>61</v>
      </c>
      <c r="E27" s="47" t="str">
        <f>IF($C27='Auto Responses'!$J$3,VLOOKUP($A27,Questions!$A$2:$X$333,17,0)&amp;"",IF($C27='Auto Responses'!$J$4,VLOOKUP($A27,Questions!$A$2:$X$333,16,0)&amp;"",VLOOKUP($A27,Questions!$A$2:$X$333,15,0)&amp;""))</f>
        <v>Provide your data privacy document (or a valid link to it) upon submission.</v>
      </c>
      <c r="F27" s="48" t="str">
        <f>VLOOKUP($A27,'Institution Evaluation'!$A$56:$F$345,6,0)&amp;""</f>
        <v/>
      </c>
      <c r="I27" s="7"/>
      <c r="J27" s="7"/>
    </row>
    <row r="28" spans="1:10" s="3" customFormat="1" ht="38.25" customHeight="1" x14ac:dyDescent="0.15">
      <c r="A28" s="36" t="s">
        <v>62</v>
      </c>
      <c r="B28" s="44" t="str">
        <f>VLOOKUP($A28,Questions!$A$2:$X$333,2,0)</f>
        <v>Do you have a documented, and currently implemented, employee onboarding and offboarding policy?</v>
      </c>
      <c r="C28" s="45" t="s">
        <v>26</v>
      </c>
      <c r="D28" s="70"/>
      <c r="E28" s="47" t="str">
        <f>IF($C28='Auto Responses'!$J$3,VLOOKUP($A28,Questions!$A$2:$X$333,17,0)&amp;"",IF($C28='Auto Responses'!$J$4,VLOOKUP($A28,Questions!$A$2:$X$333,16,0)&amp;"",VLOOKUP($A28,Questions!$A$2:$X$333,15,0)&amp;""))</f>
        <v>Briefly summarize your response.</v>
      </c>
      <c r="F28" s="48" t="str">
        <f>VLOOKUP($A28,'Institution Evaluation'!$A$56:$F$345,6,0)&amp;""</f>
        <v/>
      </c>
      <c r="G28" s="62" t="s">
        <v>35</v>
      </c>
      <c r="I28" s="7"/>
      <c r="J28" s="7"/>
    </row>
    <row r="29" spans="1:10" s="3" customFormat="1" ht="36.75" customHeight="1" x14ac:dyDescent="0.15">
      <c r="A29" s="32" t="str">
        <f>VLOOKUP(LEFT($A30,4),'Auto Responses'!$N$4:$O$38,2,0)&amp;""</f>
        <v xml:space="preserve"> Assessment of Third Parties</v>
      </c>
      <c r="B29" s="41"/>
      <c r="C29" s="20" t="s">
        <v>21</v>
      </c>
      <c r="D29" s="20" t="s">
        <v>22</v>
      </c>
      <c r="E29" s="42" t="s">
        <v>23</v>
      </c>
      <c r="F29" s="53" t="s">
        <v>24</v>
      </c>
      <c r="I29" s="7"/>
      <c r="J29" s="7"/>
    </row>
    <row r="30" spans="1:10" s="3" customFormat="1" ht="46.5" customHeight="1" x14ac:dyDescent="0.15">
      <c r="A30" s="36" t="s">
        <v>63</v>
      </c>
      <c r="B30" s="44" t="str">
        <f>VLOOKUP($A30,Questions!$A$2:$X$333,2,0)</f>
        <v>Do you perform security assessments of third-party companies with which you share data (e.g., hosting providers, cloud services, PaaS, IaaS, SaaS)?*</v>
      </c>
      <c r="C30" s="45" t="s">
        <v>26</v>
      </c>
      <c r="D30" s="71" t="s">
        <v>64</v>
      </c>
      <c r="E30" s="47" t="str">
        <f>IF($C30='Auto Responses'!$J$3,VLOOKUP($A30,Questions!$A$2:$X$333,17,0)&amp;"",IF($C30='Auto Responses'!$J$4,VLOOKUP($A30,Questions!$A$2:$X$333,16,0)&amp;"",IF($C30='Auto Responses'!$J$5,VLOOKUP($A30,Questions!$A$2:$X$333,18,0)&amp;"",VLOOKUP($A30,Questions!$A$2:$X$333,15,0)&amp;"")))</f>
        <v>State your plans to perform security assessments of third-party companies.</v>
      </c>
      <c r="F30" s="48" t="str">
        <f>VLOOKUP($A30,'Institution Evaluation'!$A$56:$F$345,6,0)&amp;""</f>
        <v/>
      </c>
      <c r="I30" s="7"/>
      <c r="J30" s="7"/>
    </row>
    <row r="31" spans="1:10" s="3" customFormat="1" ht="61.5" customHeight="1" x14ac:dyDescent="0.15">
      <c r="A31" s="36" t="s">
        <v>65</v>
      </c>
      <c r="B31" s="44" t="str">
        <f>VLOOKUP($A31,Questions!$A$2:$X$333,2,0)</f>
        <v>Do you have contractual language in place with third parties governing access to institutional data?*</v>
      </c>
      <c r="C31" s="45" t="s">
        <v>30</v>
      </c>
      <c r="D31" s="71" t="s">
        <v>66</v>
      </c>
      <c r="E31" s="47" t="str">
        <f>IF($C31='Auto Responses'!$J$3,VLOOKUP($A31,Questions!$A$2:$X$333,17,0)&amp;"",IF($C31='Auto Responses'!$J$4,VLOOKUP($A31,Questions!$A$2:$X$333,16,0)&amp;"",IF($C31='Auto Responses'!$J$5,VLOOKUP($A31,Questions!$A$2:$X$333,18,0)&amp;"",VLOOKUP($A31,Questions!$A$2:$X$333,15,0)&amp;"")))</f>
        <v>List each third party and why institutional data is shared with them. Format example: [Third Party Name] - Reason</v>
      </c>
      <c r="F31" s="48" t="str">
        <f>VLOOKUP($A31,'Institution Evaluation'!$A$56:$F$345,6,0)&amp;""</f>
        <v/>
      </c>
      <c r="I31" s="7"/>
      <c r="J31" s="7"/>
    </row>
    <row r="32" spans="1:10" s="3" customFormat="1" ht="50.25" customHeight="1" x14ac:dyDescent="0.15">
      <c r="A32" s="36" t="s">
        <v>67</v>
      </c>
      <c r="B32" s="44" t="str">
        <f>VLOOKUP($A32,Questions!$A$2:$X$333,2,0)</f>
        <v>Do the contracts in place with these third parties address liability in the event of a data breach?*</v>
      </c>
      <c r="C32" s="45" t="s">
        <v>30</v>
      </c>
      <c r="D32" s="71" t="s">
        <v>68</v>
      </c>
      <c r="E32" s="47" t="str">
        <f>IF($C32='Auto Responses'!$J$3,VLOOKUP($A32,Questions!$A$2:$X$333,17,0)&amp;"",IF($C32='Auto Responses'!$J$4,VLOOKUP($A32,Questions!$A$2:$X$333,16,0)&amp;"",IF($C32='Auto Responses'!$J$5,VLOOKUP($A32,Questions!$A$2:$X$333,18,0)&amp;"",VLOOKUP($A32,Questions!$A$2:$X$333,15,0)&amp;"")))</f>
        <v/>
      </c>
      <c r="F32" s="48" t="str">
        <f>VLOOKUP($A32,'Institution Evaluation'!$A$56:$F$345,6,0)&amp;""</f>
        <v/>
      </c>
      <c r="I32" s="7"/>
      <c r="J32" s="7"/>
    </row>
    <row r="33" spans="1:10" s="3" customFormat="1" ht="62.25" customHeight="1" x14ac:dyDescent="0.15">
      <c r="A33" s="36" t="s">
        <v>69</v>
      </c>
      <c r="B33" s="44" t="str">
        <f>VLOOKUP($A33,Questions!$A$2:$X$333,2,0)</f>
        <v>Do you have an implemented third-party management strategy?*</v>
      </c>
      <c r="C33" s="45" t="s">
        <v>26</v>
      </c>
      <c r="D33" s="71"/>
      <c r="E33" s="47" t="str">
        <f>IF($C33='Auto Responses'!$J$3,VLOOKUP($A33,Questions!$A$2:$X$333,17,0)&amp;"",IF($C33='Auto Responses'!$J$4,VLOOKUP($A33,Questions!$A$2:$X$333,16,0)&amp;"",IF($C33='Auto Responses'!$J$5,VLOOKUP($A33,Questions!$A$2:$X$333,18,0)&amp;"",VLOOKUP($A33,Questions!$A$2:$X$333,15,0)&amp;"")))</f>
        <v>State your plans to implement a third-party management strategy.</v>
      </c>
      <c r="F33" s="48" t="str">
        <f>VLOOKUP($A33,'Institution Evaluation'!$A$56:$F$345,6,0)&amp;""</f>
        <v/>
      </c>
      <c r="I33" s="7"/>
      <c r="J33" s="7"/>
    </row>
    <row r="34" spans="1:10" s="3" customFormat="1" ht="53.25" customHeight="1" x14ac:dyDescent="0.15">
      <c r="A34" s="36" t="s">
        <v>70</v>
      </c>
      <c r="B34" s="44" t="str">
        <f>VLOOKUP($A34,Questions!$A$2:$X$333,2,0)</f>
        <v>Do you have a process and implemented procedures for managing your hardware supply chain (e.g., telecommunications equipment, export licensing, computing devices)?</v>
      </c>
      <c r="C34" s="45" t="s">
        <v>26</v>
      </c>
      <c r="D34" s="71" t="s">
        <v>71</v>
      </c>
      <c r="E34" s="47" t="str">
        <f>IF($C34='Auto Responses'!$J$3,VLOOKUP($A34,Questions!$A$2:$X$333,17,0)&amp;"",IF($C34='Auto Responses'!$J$4,VLOOKUP($A34,Questions!$A$2:$X$333,16,0)&amp;"",VLOOKUP($A34,Questions!$A$2:$X$333,15,0)&amp;""))</f>
        <v>State your plans to create a process and implemented procedures for managing your hardware supply chain.</v>
      </c>
      <c r="F34" s="48" t="str">
        <f>VLOOKUP($A34,'Institution Evaluation'!$A$56:$F$345,6,0)&amp;""</f>
        <v/>
      </c>
      <c r="G34" s="62" t="s">
        <v>35</v>
      </c>
      <c r="I34" s="7"/>
      <c r="J34" s="7"/>
    </row>
    <row r="35" spans="1:10" s="3" customFormat="1" ht="36.75" customHeight="1" x14ac:dyDescent="0.15">
      <c r="A35" s="32" t="str">
        <f>VLOOKUP(LEFT($A36,4),'Auto Responses'!$N$4:$O$38,2,0)&amp;""</f>
        <v xml:space="preserve"> Change Management</v>
      </c>
      <c r="B35" s="41"/>
      <c r="C35" s="20" t="s">
        <v>21</v>
      </c>
      <c r="D35" s="20" t="s">
        <v>22</v>
      </c>
      <c r="E35" s="42" t="s">
        <v>23</v>
      </c>
      <c r="F35" s="53" t="s">
        <v>24</v>
      </c>
      <c r="I35" s="7"/>
      <c r="J35" s="7"/>
    </row>
    <row r="36" spans="1:10" s="3" customFormat="1" ht="38.25" customHeight="1" x14ac:dyDescent="0.15">
      <c r="A36" s="36" t="s">
        <v>72</v>
      </c>
      <c r="B36" s="44" t="str">
        <f>VLOOKUP($A36,Questions!$A$2:$X$333,2,0)</f>
        <v>Will the institution be notified of major changes to your environment that could impact the institution's security posture?*</v>
      </c>
      <c r="C36" s="45" t="s">
        <v>30</v>
      </c>
      <c r="D36" s="71" t="s">
        <v>73</v>
      </c>
      <c r="E36" s="47" t="str">
        <f>IF($C36='Auto Responses'!$J$3,VLOOKUP($A36,Questions!$A$2:$X$333,17,0)&amp;"",IF($C36='Auto Responses'!$J$4,VLOOKUP($A36,Questions!$A$2:$X$333,16,0)&amp;"",VLOOKUP($A36,Questions!$A$2:$X$333,15,0)&amp;""))</f>
        <v>State how and when the institution will be notified of major changes to your environment.</v>
      </c>
      <c r="F36" s="48" t="str">
        <f>VLOOKUP($A36,'Institution Evaluation'!$A$56:$F$345,6,0)&amp;""</f>
        <v/>
      </c>
      <c r="I36" s="7"/>
      <c r="J36" s="7"/>
    </row>
    <row r="37" spans="1:10" s="3" customFormat="1" ht="54" customHeight="1" x14ac:dyDescent="0.15">
      <c r="A37" s="36" t="s">
        <v>74</v>
      </c>
      <c r="B37" s="44" t="str">
        <f>VLOOKUP($A37,Questions!$A$2:$X$333,2,0)</f>
        <v>Does the system support client customizations from one release to another?*</v>
      </c>
      <c r="C37" s="45" t="s">
        <v>75</v>
      </c>
      <c r="D37" s="71" t="s">
        <v>76</v>
      </c>
      <c r="E37" s="47" t="str">
        <f>IF($C37='Auto Responses'!$J$3,VLOOKUP($A37,Questions!$A$2:$X$333,17,0)&amp;"",IF($C37='Auto Responses'!$J$4,VLOOKUP($A37,Questions!$A$2:$X$333,16,0)&amp;"",IF($C37='Auto Responses'!$J$5,VLOOKUP($A37,Questions!$A$2:$X$333,18,0)&amp;"",VLOOKUP($A37,Questions!$A$2:$X$333,15,0)&amp;"")))</f>
        <v>Please explain why this does not apply to your organization, product or service.</v>
      </c>
      <c r="F37" s="48" t="str">
        <f>VLOOKUP($A37,'Institution Evaluation'!$A$56:$F$345,6,0)&amp;""</f>
        <v/>
      </c>
      <c r="I37" s="7"/>
      <c r="J37" s="7"/>
    </row>
    <row r="38" spans="1:10" s="3" customFormat="1" ht="65.25" customHeight="1" x14ac:dyDescent="0.15">
      <c r="A38" s="36" t="s">
        <v>77</v>
      </c>
      <c r="B38" s="44" t="str">
        <f>VLOOKUP($A38,Questions!$A$2:$X$333,2,0)</f>
        <v>Do you have an implemented system configuration management process (e.g., secure "gold" images, etc.)?*</v>
      </c>
      <c r="C38" s="45" t="s">
        <v>75</v>
      </c>
      <c r="D38" s="71" t="s">
        <v>78</v>
      </c>
      <c r="E38" s="47" t="str">
        <f>IF($C38='Auto Responses'!$J$3,VLOOKUP($A38,Questions!$A$2:$X$333,17,0)&amp;"",IF($C38='Auto Responses'!$J$4,VLOOKUP($A38,Questions!$A$2:$X$333,16,0)&amp;"",IF($C38='Auto Responses'!$J$5,VLOOKUP($A38,Questions!$A$2:$X$333,18,0)&amp;"",VLOOKUP($A38,Questions!$A$2:$X$333,15,0)&amp;"")))</f>
        <v>Please explain why this does not apply to your organization, product or service.</v>
      </c>
      <c r="F38" s="48" t="str">
        <f>VLOOKUP($A38,'Institution Evaluation'!$A$56:$F$345,6,0)&amp;""</f>
        <v/>
      </c>
      <c r="I38" s="7"/>
      <c r="J38" s="7"/>
    </row>
    <row r="39" spans="1:10" s="3" customFormat="1" ht="38.25" customHeight="1" x14ac:dyDescent="0.15">
      <c r="A39" s="36" t="s">
        <v>79</v>
      </c>
      <c r="B39" s="44" t="str">
        <f>VLOOKUP($A39,Questions!$A$2:$X$333,2,0)</f>
        <v>Do you have a documented change management process?</v>
      </c>
      <c r="C39" s="45" t="s">
        <v>30</v>
      </c>
      <c r="D39" s="71" t="s">
        <v>80</v>
      </c>
      <c r="E39" s="47" t="str">
        <f>IF($C39='Auto Responses'!$J$3,VLOOKUP($A39,Questions!$A$2:$X$333,17,0)&amp;"",IF($C39='Auto Responses'!$J$4,VLOOKUP($A39,Questions!$A$2:$X$333,16,0)&amp;"",VLOOKUP($A39,Questions!$A$2:$X$333,15,0)&amp;""))</f>
        <v>Summarize your current change management process.</v>
      </c>
      <c r="F39" s="48" t="str">
        <f>VLOOKUP($A39,'Institution Evaluation'!$A$56:$F$345,6,0)&amp;""</f>
        <v/>
      </c>
      <c r="I39" s="7"/>
      <c r="J39" s="7"/>
    </row>
    <row r="40" spans="1:10" s="3" customFormat="1" ht="53.25" customHeight="1" x14ac:dyDescent="0.15">
      <c r="A40" s="36" t="s">
        <v>81</v>
      </c>
      <c r="B40" s="44" t="str">
        <f>VLOOKUP($A40,Questions!$A$2:$X$333,2,0)</f>
        <v>Does your change management process minimally include authorization, impact analysis, testing, and validation before moving changes to production?</v>
      </c>
      <c r="C40" s="45" t="s">
        <v>30</v>
      </c>
      <c r="D40" s="71" t="s">
        <v>82</v>
      </c>
      <c r="E40" s="47" t="str">
        <f>IF($C40='Auto Responses'!$J$3,VLOOKUP($A40,Questions!$A$2:$X$333,17,0)&amp;"",IF($C40='Auto Responses'!$J$4,VLOOKUP($A40,Questions!$A$2:$X$333,16,0)&amp;"",VLOOKUP($A40,Questions!$A$2:$X$333,15,0)&amp;""))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40" s="48" t="str">
        <f>VLOOKUP($A40,'Institution Evaluation'!$A$56:$F$345,6,0)&amp;""</f>
        <v/>
      </c>
      <c r="I40" s="7"/>
      <c r="J40" s="7"/>
    </row>
    <row r="41" spans="1:10" s="3" customFormat="1" ht="54.75" customHeight="1" x14ac:dyDescent="0.15">
      <c r="A41" s="36" t="s">
        <v>83</v>
      </c>
      <c r="B41" s="44" t="str">
        <f>VLOOKUP($A41,Questions!$A$2:$X$333,2,0)</f>
        <v>Does your change management process verify that all required third-party libraries and dependencies are still supported with each major change?</v>
      </c>
      <c r="C41" s="45" t="s">
        <v>30</v>
      </c>
      <c r="D41" s="71" t="s">
        <v>84</v>
      </c>
      <c r="E41" s="47" t="str">
        <f>IF($C41='Auto Responses'!$J$3,VLOOKUP($A41,Questions!$A$2:$X$333,17,0)&amp;"",IF($C41='Auto Responses'!$J$4,VLOOKUP($A41,Questions!$A$2:$X$333,16,0)&amp;"",VLOOKUP($A41,Questions!$A$2:$X$333,15,0)&amp;""))</f>
        <v>Please describe your program to track these dependencies.</v>
      </c>
      <c r="F41" s="48" t="str">
        <f>VLOOKUP($A41,'Institution Evaluation'!$A$56:$F$345,6,0)&amp;""</f>
        <v/>
      </c>
      <c r="I41" s="7"/>
      <c r="J41" s="7"/>
    </row>
    <row r="42" spans="1:10" s="3" customFormat="1" ht="53.25" customHeight="1" x14ac:dyDescent="0.15">
      <c r="A42" s="36" t="s">
        <v>85</v>
      </c>
      <c r="B42" s="44" t="str">
        <f>VLOOKUP($A42,Questions!$A$2:$X$333,2,0)</f>
        <v>Do you have policy and procedure, currently implemented, managing how critical patches are applied to all systems and applications?</v>
      </c>
      <c r="C42" s="45" t="s">
        <v>30</v>
      </c>
      <c r="D42" s="71" t="s">
        <v>86</v>
      </c>
      <c r="E42" s="47" t="str">
        <f>IF($C42='Auto Responses'!$J$3,VLOOKUP($A42,Questions!$A$2:$X$333,17,0)&amp;"",IF($C42='Auto Responses'!$J$4,VLOOKUP($A42,Questions!$A$2:$X$333,16,0)&amp;"",VLOOKUP($A42,Questions!$A$2:$X$333,15,0)&amp;""))</f>
        <v>Summarize the policy and procedure(s) managing how critical patches are applied to systems and applications.</v>
      </c>
      <c r="F42" s="48" t="str">
        <f>VLOOKUP($A42,'Institution Evaluation'!$A$56:$F$345,6,0)&amp;""</f>
        <v/>
      </c>
      <c r="I42" s="7"/>
      <c r="J42" s="7"/>
    </row>
    <row r="43" spans="1:10" s="3" customFormat="1" ht="38.25" customHeight="1" x14ac:dyDescent="0.15">
      <c r="A43" s="36" t="s">
        <v>87</v>
      </c>
      <c r="B43" s="44" t="str">
        <f>VLOOKUP($A43,Questions!$A$2:$X$333,2,0)</f>
        <v>Have you implemented policies and procedures that guide how security risks are mitigated until patches can be applied?</v>
      </c>
      <c r="C43" s="45" t="s">
        <v>26</v>
      </c>
      <c r="D43" s="71" t="s">
        <v>88</v>
      </c>
      <c r="E43" s="47" t="str">
        <f>IF($C43='Auto Responses'!$J$3,VLOOKUP($A43,Questions!$A$2:$X$333,17,0)&amp;"",IF($C43='Auto Responses'!$J$4,VLOOKUP($A43,Questions!$A$2:$X$333,16,0)&amp;"",VLOOKUP($A43,Questions!$A$2:$X$333,15,0)&amp;""))</f>
        <v>State your plans to implement policy and procedure(s) guiding risk mitigation practices before critical patches can be applied.</v>
      </c>
      <c r="F43" s="48" t="str">
        <f>VLOOKUP($A43,'Institution Evaluation'!$A$56:$F$345,6,0)&amp;""</f>
        <v/>
      </c>
      <c r="I43" s="7"/>
      <c r="J43" s="7"/>
    </row>
    <row r="44" spans="1:10" s="3" customFormat="1" ht="52.5" customHeight="1" x14ac:dyDescent="0.15">
      <c r="A44" s="36" t="s">
        <v>89</v>
      </c>
      <c r="B44" s="44" t="str">
        <f>VLOOKUP($A44,Questions!$A$2:$X$333,2,0)</f>
        <v>Do clients have the option to not participate in or postpone an upgrade to a new release?</v>
      </c>
      <c r="C44" s="45" t="s">
        <v>30</v>
      </c>
      <c r="D44" s="71" t="s">
        <v>90</v>
      </c>
      <c r="E44" s="47" t="str">
        <f>IF($C44='Auto Responses'!$J$3,VLOOKUP($A44,Questions!$A$2:$X$333,17,0)&amp;"",IF($C44='Auto Responses'!$J$4,VLOOKUP($A44,Questions!$A$2:$X$333,16,0)&amp;"",IF($C44='Auto Responses'!$J$5,VLOOKUP($A44,Questions!$A$2:$X$333,18,0)&amp;"",VLOOKUP($A44,Questions!$A$2:$X$333,15,0)&amp;"")))</f>
        <v>Provide reference the  process/procedure to manage releases.</v>
      </c>
      <c r="F44" s="48" t="str">
        <f>VLOOKUP($A44,'Institution Evaluation'!$A$56:$F$345,6,0)&amp;""</f>
        <v/>
      </c>
      <c r="I44" s="7"/>
      <c r="J44" s="7"/>
    </row>
    <row r="45" spans="1:10" s="3" customFormat="1" ht="64.5" customHeight="1" x14ac:dyDescent="0.15">
      <c r="A45" s="36" t="s">
        <v>91</v>
      </c>
      <c r="B45" s="44" t="str">
        <f>VLOOKUP($A45,Questions!$A$2:$X$333,2,0)</f>
        <v>Do you have a fully implemented solution support strategy that defines how many concurrent versions you support?</v>
      </c>
      <c r="C45" s="45" t="s">
        <v>26</v>
      </c>
      <c r="D45" s="71"/>
      <c r="E45" s="47" t="str">
        <f>IF($C45='Auto Responses'!$J$3,VLOOKUP($A45,Questions!$A$2:$X$333,17,0)&amp;"",IF($C45='Auto Responses'!$J$4,VLOOKUP($A45,Questions!$A$2:$X$333,16,0)&amp;"",IF($C45='Auto Responses'!$J$5,VLOOKUP($A45,Questions!$A$2:$X$333,18,0)&amp;"",VLOOKUP($A45,Questions!$A$2:$X$333,15,0)&amp;"")))</f>
        <v>Clarify the lack of support strategy for concurrent versions in your solution.</v>
      </c>
      <c r="F45" s="48" t="str">
        <f>VLOOKUP($A45,'Institution Evaluation'!$A$56:$F$345,6,0)&amp;""</f>
        <v/>
      </c>
      <c r="I45" s="7"/>
      <c r="J45" s="7"/>
    </row>
    <row r="46" spans="1:10" s="3" customFormat="1" ht="49.5" customHeight="1" x14ac:dyDescent="0.15">
      <c r="A46" s="36" t="s">
        <v>92</v>
      </c>
      <c r="B46" s="44" t="str">
        <f>VLOOKUP($A46,Questions!$A$2:$X$333,2,0)</f>
        <v>Do you have a release schedule for product updates?</v>
      </c>
      <c r="C46" s="45" t="s">
        <v>30</v>
      </c>
      <c r="D46" s="71" t="s">
        <v>93</v>
      </c>
      <c r="E46" s="47" t="str">
        <f>IF($C46='Auto Responses'!$J$3,VLOOKUP($A46,Questions!$A$2:$X$333,17,0)&amp;"",IF($C46='Auto Responses'!$J$4,VLOOKUP($A46,Questions!$A$2:$X$333,16,0)&amp;"",IF($C46='Auto Responses'!$J$5,VLOOKUP($A46,Questions!$A$2:$X$333,18,0)&amp;"",VLOOKUP($A46,Questions!$A$2:$X$333,15,0)&amp;"")))</f>
        <v>Provide a reference to this solution's release schedule.</v>
      </c>
      <c r="F46" s="48" t="str">
        <f>VLOOKUP($A46,'Institution Evaluation'!$A$56:$F$345,6,0)&amp;""</f>
        <v/>
      </c>
      <c r="I46" s="7"/>
      <c r="J46" s="7"/>
    </row>
    <row r="47" spans="1:10" s="3" customFormat="1" ht="54" customHeight="1" x14ac:dyDescent="0.15">
      <c r="A47" s="36" t="s">
        <v>94</v>
      </c>
      <c r="B47" s="44" t="str">
        <f>VLOOKUP($A47,Questions!$A$2:$X$333,2,0)</f>
        <v>Do you have a technology roadmap, for at least the next two years, for enhancements and bug fixes for the solution being assessed?</v>
      </c>
      <c r="C47" s="45" t="s">
        <v>26</v>
      </c>
      <c r="D47" s="71"/>
      <c r="E47" s="47" t="str">
        <f>IF($C47='Auto Responses'!$J$3,VLOOKUP($A47,Questions!$A$2:$X$333,17,0)&amp;"",IF($C47='Auto Responses'!$J$4,VLOOKUP($A47,Questions!$A$2:$X$333,16,0)&amp;"",IF($C47='Auto Responses'!$J$5,VLOOKUP($A47,Questions!$A$2:$X$333,18,0)&amp;"",VLOOKUP($A47,Questions!$A$2:$X$333,15,0)&amp;"")))</f>
        <v>State any plans to release a technology roadmap covering the next two years.</v>
      </c>
      <c r="F47" s="48" t="str">
        <f>VLOOKUP($A47,'Institution Evaluation'!$A$56:$F$345,6,0)&amp;""</f>
        <v/>
      </c>
      <c r="I47" s="7"/>
      <c r="J47" s="7"/>
    </row>
    <row r="48" spans="1:10" s="3" customFormat="1" ht="38.25" customHeight="1" x14ac:dyDescent="0.15">
      <c r="A48" s="36" t="s">
        <v>95</v>
      </c>
      <c r="B48" s="44" t="str">
        <f>VLOOKUP($A48,Questions!$A$2:$X$333,2,0)</f>
        <v>Can solution updates be completed without institutional involvement (i.e., technically or organizationally)?</v>
      </c>
      <c r="C48" s="45" t="s">
        <v>30</v>
      </c>
      <c r="D48" s="71" t="s">
        <v>96</v>
      </c>
      <c r="E48" s="47" t="str">
        <f>IF($C48='Auto Responses'!$J$3,VLOOKUP($A48,Questions!$A$2:$X$333,17,0)&amp;"",IF($C48='Auto Responses'!$J$4,VLOOKUP($A48,Questions!$A$2:$X$333,16,0)&amp;"",VLOOKUP($A48,Questions!$A$2:$X$333,15,0)&amp;""))</f>
        <v/>
      </c>
      <c r="F48" s="48" t="str">
        <f>VLOOKUP($A48,'Institution Evaluation'!$A$56:$F$345,6,0)&amp;""</f>
        <v/>
      </c>
      <c r="I48" s="7"/>
      <c r="J48" s="7"/>
    </row>
    <row r="49" spans="1:10" s="3" customFormat="1" ht="38.25" customHeight="1" x14ac:dyDescent="0.15">
      <c r="A49" s="36" t="s">
        <v>97</v>
      </c>
      <c r="B49" s="44" t="str">
        <f>VLOOKUP($A49,Questions!$A$2:$X$333,2,0)</f>
        <v>Are upgrades or system changes installed during off-peak hours or in a manner that does not impact the customer?</v>
      </c>
      <c r="C49" s="45" t="s">
        <v>30</v>
      </c>
      <c r="D49" s="71" t="s">
        <v>98</v>
      </c>
      <c r="E49" s="47" t="str">
        <f>IF($C49='Auto Responses'!$J$3,VLOOKUP($A49,Questions!$A$2:$X$333,17,0)&amp;"",IF($C49='Auto Responses'!$J$4,VLOOKUP($A49,Questions!$A$2:$X$333,16,0)&amp;"",VLOOKUP($A49,Questions!$A$2:$X$333,15,0)&amp;""))</f>
        <v>Define current off-peak hours, including time zones as necessary.</v>
      </c>
      <c r="F49" s="48" t="str">
        <f>VLOOKUP($A49,'Institution Evaluation'!$A$56:$F$345,6,0)&amp;""</f>
        <v/>
      </c>
      <c r="I49" s="7"/>
      <c r="J49" s="7"/>
    </row>
    <row r="50" spans="1:10" s="3" customFormat="1" ht="38.25" customHeight="1" x14ac:dyDescent="0.15">
      <c r="A50" s="36" t="s">
        <v>99</v>
      </c>
      <c r="B50" s="44" t="str">
        <f>VLOOKUP($A50,Questions!$A$2:$X$333,2,0)</f>
        <v>Do procedures exist to provide that emergency changes are documented and authorized (including after-the-fact approval)?</v>
      </c>
      <c r="C50" s="45" t="s">
        <v>26</v>
      </c>
      <c r="D50" s="71"/>
      <c r="E50" s="47" t="str">
        <f>IF($C50='Auto Responses'!$J$3,VLOOKUP($A50,Questions!$A$2:$X$333,17,0)&amp;"",IF($C50='Auto Responses'!$J$4,VLOOKUP($A50,Questions!$A$2:$X$333,16,0)&amp;"",VLOOKUP($A50,Questions!$A$2:$X$333,15,0)&amp;""))</f>
        <v>Describe plans to implement procedure ensuring that emergency changes are documented and authorized.</v>
      </c>
      <c r="F50" s="48" t="str">
        <f>VLOOKUP($A50,'Institution Evaluation'!$A$56:$F$345,6,0)&amp;""</f>
        <v/>
      </c>
      <c r="I50" s="7"/>
      <c r="J50" s="7"/>
    </row>
    <row r="51" spans="1:10" s="3" customFormat="1" ht="48" customHeight="1" x14ac:dyDescent="0.15">
      <c r="A51" s="36" t="s">
        <v>100</v>
      </c>
      <c r="B51" s="44" t="str">
        <f>VLOOKUP($A51,Questions!$A$2:$X$333,2,0)</f>
        <v>Do you have a systems management and configuration strategy that encompasses servers, appliances, cloud services, applications, and mobile devices (company and employee owned)?</v>
      </c>
      <c r="C51" s="45" t="s">
        <v>26</v>
      </c>
      <c r="D51" s="71"/>
      <c r="E51" s="47" t="str">
        <f>IF($C51='Auto Responses'!$J$3,VLOOKUP($A51,Questions!$A$2:$X$333,17,0)&amp;"",IF($C51='Auto Responses'!$J$4,VLOOKUP($A51,Questions!$A$2:$X$333,16,0)&amp;"",VLOOKUP($A51,Questions!$A$2:$X$333,15,0)&amp;""))</f>
        <v>Describe your intent to implement a systems management and configuration strategy.</v>
      </c>
      <c r="F51" s="48" t="str">
        <f>VLOOKUP($A51,'Institution Evaluation'!$A$56:$F$345,6,0)&amp;""</f>
        <v/>
      </c>
      <c r="G51" s="62" t="s">
        <v>35</v>
      </c>
      <c r="I51" s="7"/>
      <c r="J51" s="7"/>
    </row>
    <row r="52" spans="1:10" s="3" customFormat="1" ht="36.75" customHeight="1" x14ac:dyDescent="0.15">
      <c r="A52" s="32" t="str">
        <f>VLOOKUP(LEFT($A53,4),'Auto Responses'!$N$4:$O$38,2,0)&amp;""</f>
        <v xml:space="preserve"> Policies, Processes, and Procedures</v>
      </c>
      <c r="B52" s="41"/>
      <c r="C52" s="20" t="s">
        <v>21</v>
      </c>
      <c r="D52" s="20" t="s">
        <v>22</v>
      </c>
      <c r="E52" s="42" t="s">
        <v>23</v>
      </c>
      <c r="F52" s="53" t="s">
        <v>24</v>
      </c>
      <c r="I52" s="7"/>
      <c r="J52" s="7"/>
    </row>
    <row r="53" spans="1:10" s="3" customFormat="1" ht="38.25" customHeight="1" x14ac:dyDescent="0.15">
      <c r="A53" s="36" t="s">
        <v>101</v>
      </c>
      <c r="B53" s="44" t="str">
        <f>VLOOKUP($A53,Questions!$A$2:$X$333,2,0)</f>
        <v>Do you have a documented patch management process?*</v>
      </c>
      <c r="C53" s="45" t="s">
        <v>30</v>
      </c>
      <c r="D53" s="71" t="s">
        <v>102</v>
      </c>
      <c r="E53" s="47" t="str">
        <f>IF($C53='Auto Responses'!$J$3,VLOOKUP($A53,Questions!$A$2:$X$333,17,0)&amp;"",IF($C53='Auto Responses'!$J$4,VLOOKUP($A53,Questions!$A$2:$X$333,16,0)&amp;"",VLOOKUP($A53,Questions!$A$2:$X$333,15,0)&amp;""))</f>
        <v/>
      </c>
      <c r="F53" s="48" t="str">
        <f>VLOOKUP($A53,'Institution Evaluation'!$A$56:$F$345,6,0)&amp;""</f>
        <v/>
      </c>
      <c r="I53" s="7"/>
      <c r="J53" s="7"/>
    </row>
    <row r="54" spans="1:10" s="3" customFormat="1" ht="56.25" customHeight="1" x14ac:dyDescent="0.15">
      <c r="A54" s="36" t="s">
        <v>103</v>
      </c>
      <c r="B54" s="44" t="str">
        <f>VLOOKUP($A54,Questions!$A$2:$X$333,2,0)</f>
        <v>Can your organization comply with institutional policies on privacy and data protection with regard to users of institutional systems, if required?*</v>
      </c>
      <c r="C54" s="45" t="s">
        <v>30</v>
      </c>
      <c r="D54" s="71" t="s">
        <v>104</v>
      </c>
      <c r="E54" s="47" t="str">
        <f>IF($C54='Auto Responses'!$J$3,VLOOKUP($A54,Questions!$A$2:$X$333,17,0)&amp;"",IF($C54='Auto Responses'!$J$4,VLOOKUP($A54,Questions!$A$2:$X$333,16,0)&amp;"",VLOOKUP($A54,Questions!$A$2:$X$333,15,0)&amp;""))</f>
        <v>State that you have reviewed the institution's IT policies with regards to user privacy and data protection.</v>
      </c>
      <c r="F54" s="48" t="str">
        <f>VLOOKUP($A54,'Institution Evaluation'!$A$56:$F$345,6,0)&amp;""</f>
        <v/>
      </c>
      <c r="I54" s="7"/>
      <c r="J54" s="7"/>
    </row>
    <row r="55" spans="1:10" s="3" customFormat="1" ht="38.25" customHeight="1" x14ac:dyDescent="0.15">
      <c r="A55" s="36" t="s">
        <v>105</v>
      </c>
      <c r="B55" s="44" t="str">
        <f>VLOOKUP($A55,Questions!$A$2:$X$333,2,0)</f>
        <v>Is your company subject to the institution's geographic region's laws and regulations?*</v>
      </c>
      <c r="C55" s="45" t="s">
        <v>30</v>
      </c>
      <c r="D55" s="71" t="s">
        <v>106</v>
      </c>
      <c r="E55" s="47" t="str">
        <f>IF($C55='Auto Responses'!$J$3,VLOOKUP($A55,Questions!$A$2:$X$333,17,0)&amp;"",IF($C55='Auto Responses'!$J$4,VLOOKUP($A55,Questions!$A$2:$X$333,16,0)&amp;"",VLOOKUP($A55,Questions!$A$2:$X$333,15,0)&amp;""))</f>
        <v>State the country that governs and regulates your company.</v>
      </c>
      <c r="F55" s="48" t="str">
        <f>VLOOKUP($A55,'Institution Evaluation'!$A$56:$F$345,6,0)&amp;""</f>
        <v/>
      </c>
      <c r="I55" s="7"/>
      <c r="J55" s="7"/>
    </row>
    <row r="56" spans="1:10" s="3" customFormat="1" ht="38.25" customHeight="1" x14ac:dyDescent="0.15">
      <c r="A56" s="36" t="s">
        <v>107</v>
      </c>
      <c r="B56" s="44" t="str">
        <f>VLOOKUP($A56,Questions!$A$2:$X$333,2,0)</f>
        <v>Can you accommodate encryption requirements using open standards?</v>
      </c>
      <c r="C56" s="45" t="s">
        <v>30</v>
      </c>
      <c r="D56" s="71" t="s">
        <v>108</v>
      </c>
      <c r="E56" s="47" t="str">
        <f>IF($C56='Auto Responses'!$J$3,VLOOKUP($A56,Questions!$A$2:$X$333,17,0)&amp;"",IF($C56='Auto Responses'!$J$4,VLOOKUP($A56,Questions!$A$2:$X$333,16,0)&amp;"",VLOOKUP($A56,Questions!$A$2:$X$333,15,0)&amp;""))</f>
        <v/>
      </c>
      <c r="F56" s="48" t="str">
        <f>VLOOKUP($A56,'Institution Evaluation'!$A$56:$F$345,6,0)&amp;""</f>
        <v/>
      </c>
      <c r="I56" s="7"/>
      <c r="J56" s="7"/>
    </row>
    <row r="57" spans="1:10" s="3" customFormat="1" ht="36" customHeight="1" x14ac:dyDescent="0.15">
      <c r="A57" s="36" t="s">
        <v>109</v>
      </c>
      <c r="B57" s="44" t="str">
        <f>VLOOKUP($A57,Questions!$A$2:$X$333,2,0)</f>
        <v>Do you have a documented systems development life cycle (SDLC)?</v>
      </c>
      <c r="C57" s="45" t="s">
        <v>26</v>
      </c>
      <c r="D57" s="71"/>
      <c r="E57" s="47" t="str">
        <f>IF($C57='Auto Responses'!$J$3,VLOOKUP($A57,Questions!$A$2:$X$333,17,0)&amp;"",IF($C57='Auto Responses'!$J$4,VLOOKUP($A57,Questions!$A$2:$X$333,16,0)&amp;"",VLOOKUP($A57,Questions!$A$2:$X$333,15,0)&amp;""))</f>
        <v>State any plans to implement an SDLC.</v>
      </c>
      <c r="F57" s="48" t="str">
        <f>VLOOKUP($A57,'Institution Evaluation'!$A$56:$F$345,6,0)&amp;""</f>
        <v/>
      </c>
      <c r="I57" s="7"/>
      <c r="J57" s="7"/>
    </row>
    <row r="58" spans="1:10" s="3" customFormat="1" ht="27" customHeight="1" x14ac:dyDescent="0.15">
      <c r="A58" s="36" t="s">
        <v>110</v>
      </c>
      <c r="B58" s="44" t="str">
        <f>VLOOKUP($A58,Questions!$A$2:$X$333,2,0)</f>
        <v>Do you perform background screenings or multi-state background checks on all employees prior to their first day of work?</v>
      </c>
      <c r="C58" s="45" t="s">
        <v>26</v>
      </c>
      <c r="D58" s="71"/>
      <c r="E58" s="47" t="str">
        <f>IF($C58='Auto Responses'!$J$3,VLOOKUP($A58,Questions!$A$2:$X$333,17,0)&amp;"",IF($C58='Auto Responses'!$J$4,VLOOKUP($A58,Questions!$A$2:$X$333,16,0)&amp;"",VLOOKUP($A58,Questions!$A$2:$X$333,15,0)&amp;""))</f>
        <v>State plans to implement background check elements into your hiring process.</v>
      </c>
      <c r="F58" s="48" t="str">
        <f>VLOOKUP($A58,'Institution Evaluation'!$A$56:$F$345,6,0)&amp;""</f>
        <v/>
      </c>
      <c r="I58" s="7"/>
      <c r="J58" s="7"/>
    </row>
    <row r="59" spans="1:10" s="3" customFormat="1" ht="47.25" customHeight="1" x14ac:dyDescent="0.15">
      <c r="A59" s="36" t="s">
        <v>111</v>
      </c>
      <c r="B59" s="44" t="str">
        <f>VLOOKUP($A59,Questions!$A$2:$X$333,2,0)</f>
        <v>Do you require new employees to fill out agreements and review policies?</v>
      </c>
      <c r="C59" s="45" t="s">
        <v>26</v>
      </c>
      <c r="D59" s="71"/>
      <c r="E59" s="47" t="str">
        <f>IF($C59='Auto Responses'!$J$3,VLOOKUP($A59,Questions!$A$2:$X$333,17,0)&amp;"",IF($C59='Auto Responses'!$J$4,VLOOKUP($A59,Questions!$A$2:$X$333,16,0)&amp;"",VLOOKUP($A59,Questions!$A$2:$X$333,15,0)&amp;""))</f>
        <v>Summarize why new employees are not required to accept agreements or review policy.</v>
      </c>
      <c r="F59" s="48" t="str">
        <f>VLOOKUP($A59,'Institution Evaluation'!$A$56:$F$345,6,0)&amp;""</f>
        <v/>
      </c>
      <c r="I59" s="7"/>
      <c r="J59" s="7"/>
    </row>
    <row r="60" spans="1:10" s="3" customFormat="1" ht="46.5" customHeight="1" x14ac:dyDescent="0.15">
      <c r="A60" s="36" t="s">
        <v>112</v>
      </c>
      <c r="B60" s="44" t="str">
        <f>VLOOKUP($A60,Questions!$A$2:$X$333,2,0)</f>
        <v>Do you have a documented information security policy?</v>
      </c>
      <c r="C60" s="45" t="s">
        <v>26</v>
      </c>
      <c r="D60" s="71"/>
      <c r="E60" s="47" t="str">
        <f>IF($C60='Auto Responses'!$J$3,VLOOKUP($A60,Questions!$A$2:$X$333,17,0)&amp;"",IF($C60='Auto Responses'!$J$4,VLOOKUP($A60,Questions!$A$2:$X$333,16,0)&amp;"",VLOOKUP($A60,Questions!$A$2:$X$333,15,0)&amp;""))</f>
        <v>State plans to implement information security policy at your company.</v>
      </c>
      <c r="F60" s="48" t="str">
        <f>VLOOKUP($A60,'Institution Evaluation'!$A$56:$F$345,6,0)&amp;""</f>
        <v/>
      </c>
      <c r="I60" s="7"/>
      <c r="J60" s="7"/>
    </row>
    <row r="61" spans="1:10" s="3" customFormat="1" ht="48" customHeight="1" x14ac:dyDescent="0.15">
      <c r="A61" s="36" t="s">
        <v>113</v>
      </c>
      <c r="B61" s="44" t="str">
        <f>VLOOKUP($A61,Questions!$A$2:$X$333,2,0)</f>
        <v>Are information security principles designed into the product lifecycle?</v>
      </c>
      <c r="C61" s="45" t="s">
        <v>30</v>
      </c>
      <c r="D61" s="71" t="s">
        <v>114</v>
      </c>
      <c r="E61" s="47" t="str">
        <f>IF($C61='Auto Responses'!$J$3,VLOOKUP($A61,Questions!$A$2:$X$333,17,0)&amp;"",IF($C61='Auto Responses'!$J$4,VLOOKUP($A61,Questions!$A$2:$X$333,16,0)&amp;"",VLOOKUP($A61,Questions!$A$2:$X$333,15,0)&amp;""))</f>
        <v>Summarize the information security principles designed into the product lifecycle.</v>
      </c>
      <c r="F61" s="48" t="str">
        <f>VLOOKUP($A61,'Institution Evaluation'!$A$56:$F$345,6,0)&amp;""</f>
        <v/>
      </c>
      <c r="I61" s="7"/>
      <c r="J61" s="7"/>
    </row>
    <row r="62" spans="1:10" s="3" customFormat="1" ht="28.5" customHeight="1" x14ac:dyDescent="0.15">
      <c r="A62" s="36" t="s">
        <v>115</v>
      </c>
      <c r="B62" s="44" t="str">
        <f>VLOOKUP($A62,Questions!$A$2:$X$333,2,0)</f>
        <v>Will you comply with applicable breach notification laws?</v>
      </c>
      <c r="C62" s="45" t="s">
        <v>30</v>
      </c>
      <c r="D62" s="71" t="s">
        <v>116</v>
      </c>
      <c r="E62" s="47" t="str">
        <f>IF($C62='Auto Responses'!$J$3,VLOOKUP($A62,Questions!$A$2:$X$333,17,0)&amp;"",IF($C62='Auto Responses'!$J$4,VLOOKUP($A62,Questions!$A$2:$X$333,16,0)&amp;"",VLOOKUP($A62,Questions!$A$2:$X$333,15,0)&amp;""))</f>
        <v>State how quickly the institution will be notified of a data breach or security incident.</v>
      </c>
      <c r="F62" s="48" t="str">
        <f>VLOOKUP($A62,'Institution Evaluation'!$A$56:$F$345,6,0)&amp;""</f>
        <v/>
      </c>
      <c r="I62" s="7"/>
      <c r="J62" s="7"/>
    </row>
    <row r="63" spans="1:10" s="3" customFormat="1" ht="28.5" customHeight="1" x14ac:dyDescent="0.15">
      <c r="A63" s="36" t="s">
        <v>117</v>
      </c>
      <c r="B63" s="44" t="str">
        <f>VLOOKUP($A63,Questions!$A$2:$X$333,2,0)</f>
        <v>Do you have an information security awareness program?</v>
      </c>
      <c r="C63" s="45" t="s">
        <v>26</v>
      </c>
      <c r="D63" s="71"/>
      <c r="E63" s="47" t="str">
        <f>IF($C63='Auto Responses'!$J$3,VLOOKUP($A63,Questions!$A$2:$X$333,17,0)&amp;"",IF($C63='Auto Responses'!$J$4,VLOOKUP($A63,Questions!$A$2:$X$333,16,0)&amp;"",VLOOKUP($A63,Questions!$A$2:$X$333,15,0)&amp;""))</f>
        <v>State plans to implement an information security awareness program.</v>
      </c>
      <c r="F63" s="48" t="str">
        <f>VLOOKUP($A63,'Institution Evaluation'!$A$56:$F$345,6,0)&amp;""</f>
        <v/>
      </c>
      <c r="I63" s="7"/>
      <c r="J63" s="7"/>
    </row>
    <row r="64" spans="1:10" s="3" customFormat="1" ht="28.5" customHeight="1" x14ac:dyDescent="0.15">
      <c r="A64" s="36" t="s">
        <v>118</v>
      </c>
      <c r="B64" s="44" t="str">
        <f>VLOOKUP($A64,Questions!$A$2:$X$333,2,0)</f>
        <v>Is security awareness training mandatory for all employees?</v>
      </c>
      <c r="C64" s="45" t="s">
        <v>26</v>
      </c>
      <c r="D64" s="71"/>
      <c r="E64" s="47" t="str">
        <f>IF($C64='Auto Responses'!$J$3,VLOOKUP($A64,Questions!$A$2:$X$333,17,0)&amp;"",IF($C64='Auto Responses'!$J$4,VLOOKUP($A64,Questions!$A$2:$X$333,16,0)&amp;"",VLOOKUP($A64,Questions!$A$2:$X$333,15,0)&amp;""))</f>
        <v>State plans to make security awareness training mandatory for all employees.</v>
      </c>
      <c r="F64" s="48" t="str">
        <f>VLOOKUP($A64,'Institution Evaluation'!$A$56:$F$345,6,0)&amp;""</f>
        <v/>
      </c>
      <c r="I64" s="7"/>
      <c r="J64" s="7"/>
    </row>
    <row r="65" spans="1:10" s="3" customFormat="1" ht="54" customHeight="1" x14ac:dyDescent="0.15">
      <c r="A65" s="36" t="s">
        <v>119</v>
      </c>
      <c r="B65" s="44" t="str">
        <f>VLOOKUP($A65,Questions!$A$2:$X$333,2,0)</f>
        <v>Do you have process and procedure(s) documented, and currently followed, that require a review and update of the access list(s) for privileged accounts?</v>
      </c>
      <c r="C65" s="45" t="s">
        <v>26</v>
      </c>
      <c r="D65" s="71"/>
      <c r="E65" s="47" t="str">
        <f>IF($C65='Auto Responses'!$J$3,VLOOKUP($A65,Questions!$A$2:$X$333,17,0)&amp;"",IF($C65='Auto Responses'!$J$4,VLOOKUP($A65,Questions!$A$2:$X$333,16,0)&amp;"",VLOOKUP($A65,Questions!$A$2:$X$333,15,0)&amp;""))</f>
        <v>Describe plans to implement privileged account access list reviews to your environment.</v>
      </c>
      <c r="F65" s="48" t="str">
        <f>VLOOKUP($A65,'Institution Evaluation'!$A$56:$F$345,6,0)&amp;""</f>
        <v/>
      </c>
      <c r="I65" s="7"/>
      <c r="J65" s="7"/>
    </row>
    <row r="66" spans="1:10" s="3" customFormat="1" ht="34.5" customHeight="1" x14ac:dyDescent="0.15">
      <c r="A66" s="36" t="s">
        <v>120</v>
      </c>
      <c r="B66" s="44" t="str">
        <f>VLOOKUP($A66,Questions!$A$2:$X$333,2,0)</f>
        <v>Do you have documented, and currently implemented, internal audit processes and procedures?</v>
      </c>
      <c r="C66" s="45" t="s">
        <v>26</v>
      </c>
      <c r="D66" s="71"/>
      <c r="E66" s="47" t="str">
        <f>IF($C66='Auto Responses'!$J$3,VLOOKUP($A66,Questions!$A$2:$X$333,17,0)&amp;"",IF($C66='Auto Responses'!$J$4,VLOOKUP($A66,Questions!$A$2:$X$333,16,0)&amp;"",VLOOKUP($A66,Questions!$A$2:$X$333,15,0)&amp;""))</f>
        <v>State plans to document and implement internal audit process and procedure in your environment.</v>
      </c>
      <c r="F66" s="48" t="str">
        <f>VLOOKUP($A66,'Institution Evaluation'!$A$56:$F$345,6,0)&amp;""</f>
        <v/>
      </c>
      <c r="I66" s="7"/>
      <c r="J66" s="7"/>
    </row>
    <row r="67" spans="1:10" s="3" customFormat="1" ht="39" customHeight="1" x14ac:dyDescent="0.15">
      <c r="A67" s="36" t="s">
        <v>121</v>
      </c>
      <c r="B67" s="44" t="str">
        <f>VLOOKUP($A67,Questions!$A$2:$X$333,2,0)</f>
        <v>Does your organization have physical security controls and policies in place?</v>
      </c>
      <c r="C67" s="45" t="s">
        <v>30</v>
      </c>
      <c r="D67" s="71" t="s">
        <v>122</v>
      </c>
      <c r="E67" s="47" t="str">
        <f>IF($C67='Auto Responses'!$J$3,VLOOKUP($A67,Questions!$A$2:$X$333,17,0)&amp;"",IF($C67='Auto Responses'!$J$4,VLOOKUP($A67,Questions!$A$2:$X$333,16,0)&amp;"",IF($C67='Auto Responses'!$J$5,VLOOKUP($A67,Questions!$A$2:$X$333,18,0)&amp;"",VLOOKUP($A67,Questions!$A$2:$X$333,15,0)&amp;"")))</f>
        <v>Provide a copy of your physical security controls and policies along with this document (link or attached).</v>
      </c>
      <c r="F67" s="48" t="str">
        <f>VLOOKUP($A67,'Institution Evaluation'!$A$56:$F$345,6,0)&amp;""</f>
        <v/>
      </c>
      <c r="G67" s="62" t="s">
        <v>35</v>
      </c>
      <c r="H67" s="7"/>
    </row>
    <row r="68" spans="1:10" s="3" customFormat="1" ht="39" customHeight="1" x14ac:dyDescent="0.15">
      <c r="A68" s="63" t="s">
        <v>53</v>
      </c>
      <c r="B68" s="57"/>
      <c r="C68" s="58"/>
      <c r="D68" s="72"/>
      <c r="E68" s="60"/>
      <c r="F68" s="61"/>
      <c r="G68" s="62"/>
      <c r="H68" s="7"/>
    </row>
    <row r="69" spans="1:10" s="3" customFormat="1" ht="15" customHeight="1" x14ac:dyDescent="0.15">
      <c r="A69" s="73"/>
      <c r="C69" s="4"/>
      <c r="D69" s="5"/>
      <c r="E69" s="6"/>
      <c r="I69" s="7"/>
      <c r="J69" s="7"/>
    </row>
    <row r="70" spans="1:10" s="3" customFormat="1" ht="15" hidden="1" customHeight="1" x14ac:dyDescent="0.15">
      <c r="A70"/>
      <c r="C70" s="4"/>
      <c r="D70" s="5"/>
      <c r="E70" s="6"/>
      <c r="I70" s="7"/>
      <c r="J70" s="7"/>
    </row>
    <row r="71" spans="1:10" ht="57" hidden="1" customHeight="1" x14ac:dyDescent="0.2">
      <c r="A71" s="36" t="e">
        <f>#REF!</f>
        <v>#REF!</v>
      </c>
    </row>
    <row r="72" spans="1:10" ht="42.75" hidden="1" customHeight="1" x14ac:dyDescent="0.2">
      <c r="A72" s="36" t="e">
        <f>#REF!</f>
        <v>#REF!</v>
      </c>
    </row>
    <row r="73" spans="1:10" ht="15" hidden="1" customHeight="1" x14ac:dyDescent="0.2">
      <c r="A73" s="36" t="e">
        <f>#REF!</f>
        <v>#REF!</v>
      </c>
    </row>
    <row r="74" spans="1:10" ht="15" hidden="1" customHeight="1" x14ac:dyDescent="0.2">
      <c r="A74" s="36" t="e">
        <f>#REF!</f>
        <v>#REF!</v>
      </c>
    </row>
    <row r="75" spans="1:10" ht="15" hidden="1" customHeight="1" x14ac:dyDescent="0.2">
      <c r="A75" s="36" t="e">
        <f>#REF!</f>
        <v>#REF!</v>
      </c>
    </row>
    <row r="76" spans="1:10" ht="15" hidden="1" customHeight="1" x14ac:dyDescent="0.2">
      <c r="A76" s="36" t="e">
        <f>#REF!</f>
        <v>#REF!</v>
      </c>
    </row>
    <row r="77" spans="1:10" ht="15" hidden="1" customHeight="1" x14ac:dyDescent="0.2">
      <c r="A77" s="36" t="e">
        <f>#REF!</f>
        <v>#REF!</v>
      </c>
    </row>
    <row r="78" spans="1:10" ht="15" hidden="1" customHeight="1" x14ac:dyDescent="0.2"/>
    <row r="79" spans="1:10" ht="15" hidden="1" customHeight="1" x14ac:dyDescent="0.2"/>
    <row r="80" spans="1:10"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row r="86" ht="15" hidden="1" customHeight="1" x14ac:dyDescent="0.2"/>
    <row r="87" ht="15" hidden="1" customHeight="1" x14ac:dyDescent="0.2"/>
    <row r="88" ht="15" hidden="1" customHeight="1" x14ac:dyDescent="0.2"/>
    <row r="89" ht="15" hidden="1" customHeight="1" x14ac:dyDescent="0.2"/>
    <row r="90" ht="15" hidden="1" customHeight="1" x14ac:dyDescent="0.2"/>
    <row r="91" ht="15" hidden="1" customHeight="1" x14ac:dyDescent="0.2"/>
    <row r="92" ht="15" hidden="1" customHeight="1" x14ac:dyDescent="0.2"/>
    <row r="93" ht="15" hidden="1" customHeight="1" x14ac:dyDescent="0.2"/>
    <row r="94" ht="15" hidden="1" customHeight="1" x14ac:dyDescent="0.2"/>
    <row r="95" ht="15" hidden="1" customHeight="1" x14ac:dyDescent="0.2"/>
    <row r="96" ht="15" hidden="1" customHeight="1" x14ac:dyDescent="0.2"/>
    <row r="97" ht="15" hidden="1" customHeight="1" x14ac:dyDescent="0.2"/>
    <row r="98" ht="15" hidden="1" customHeight="1" x14ac:dyDescent="0.2"/>
    <row r="99" ht="15" hidden="1" customHeight="1" x14ac:dyDescent="0.2"/>
    <row r="100" ht="15" hidden="1" customHeight="1" x14ac:dyDescent="0.2"/>
    <row r="101" ht="15" hidden="1" customHeight="1" x14ac:dyDescent="0.2"/>
    <row r="102" ht="15" hidden="1" customHeight="1" x14ac:dyDescent="0.2"/>
    <row r="103" ht="15" hidden="1" customHeight="1" x14ac:dyDescent="0.2"/>
    <row r="104" ht="15" hidden="1" customHeight="1" x14ac:dyDescent="0.2"/>
    <row r="105" ht="15" hidden="1" customHeight="1" x14ac:dyDescent="0.2"/>
    <row r="106" ht="15" hidden="1" customHeight="1" x14ac:dyDescent="0.2"/>
    <row r="107" ht="15" hidden="1" customHeight="1" x14ac:dyDescent="0.2"/>
    <row r="108" ht="15" hidden="1" customHeight="1" x14ac:dyDescent="0.2"/>
    <row r="109" ht="15" hidden="1" customHeight="1" x14ac:dyDescent="0.2"/>
    <row r="110" ht="15" hidden="1" customHeight="1" x14ac:dyDescent="0.2"/>
    <row r="111" ht="15" hidden="1" customHeight="1" x14ac:dyDescent="0.2"/>
    <row r="112"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B2:F2 A3:B68 D3:F3 C5:F12 C21:F21 D22:F28 C29:F29 E30:F34 C35:F35 E36:F51 C52:F52 E53:F67" xr:uid="{00000000-0002-0000-0100-000000000000}">
      <formula1>0</formula1>
      <formula2>0</formula2>
    </dataValidation>
    <dataValidation allowBlank="1" showInputMessage="1" showErrorMessage="1" prompt="This answer has been populated from the &quot;START HERE&quot; tab and does not need to be re-entered." sqref="C3 C13:C20" xr:uid="{00000000-0002-0000-0100-000001000000}">
      <formula1>0</formula1>
      <formula2>0</formula2>
    </dataValidation>
  </dataValidations>
  <hyperlinks>
    <hyperlink ref="A11" r:id="rId1" display="http://www.educause.edu/HECVAT"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36C"/>
  </sheetPr>
  <dimension ref="A1:L85"/>
  <sheetViews>
    <sheetView showGridLines="0" topLeftCell="A56" workbookViewId="0"/>
  </sheetViews>
  <sheetFormatPr baseColWidth="10" defaultColWidth="0" defaultRowHeight="16" x14ac:dyDescent="0.2"/>
  <cols>
    <col min="1" max="1" width="8.25" style="2" customWidth="1"/>
    <col min="2" max="2" width="55.125" style="3" customWidth="1"/>
    <col min="3" max="3" width="19.875" style="4" customWidth="1"/>
    <col min="4" max="4" width="55.625" style="5" customWidth="1"/>
    <col min="5" max="5" width="32" style="6" customWidth="1"/>
    <col min="6" max="6" width="30.625" style="3" customWidth="1"/>
    <col min="7" max="7" width="18" style="3" customWidth="1"/>
    <col min="8" max="8" width="18" style="3" hidden="1" customWidth="1"/>
    <col min="9" max="10" width="18" style="7" hidden="1" customWidth="1"/>
    <col min="11" max="11" width="4.5" style="3" hidden="1" customWidth="1"/>
    <col min="12" max="12" width="6.625" style="3" hidden="1"/>
    <col min="13" max="16384" width="6.625" style="2" hidden="1"/>
  </cols>
  <sheetData>
    <row r="1" spans="1:10" ht="221" hidden="1" x14ac:dyDescent="0.2">
      <c r="A1" t="s">
        <v>0</v>
      </c>
    </row>
    <row r="2" spans="1:10" ht="36" customHeight="1" x14ac:dyDescent="0.2">
      <c r="A2" s="8" t="s">
        <v>123</v>
      </c>
      <c r="B2" s="8"/>
      <c r="C2" s="9"/>
      <c r="D2" s="10"/>
      <c r="E2" s="11"/>
      <c r="F2" s="11" t="str">
        <f>'Auto Responses'!$A$36</f>
        <v>Version 4.1.6</v>
      </c>
      <c r="J2" s="3"/>
    </row>
    <row r="3" spans="1:10" s="3" customFormat="1" ht="28.5" customHeight="1" x14ac:dyDescent="0.15">
      <c r="A3" s="12" t="s">
        <v>2</v>
      </c>
      <c r="B3" s="13">
        <v>46282</v>
      </c>
      <c r="C3" s="64">
        <f>'START HERE'!$C$3</f>
        <v>0</v>
      </c>
      <c r="D3" s="15"/>
      <c r="E3" s="16"/>
      <c r="F3" s="17"/>
      <c r="I3" s="7"/>
    </row>
    <row r="4" spans="1:10" s="3" customFormat="1" ht="36" customHeight="1" x14ac:dyDescent="0.15">
      <c r="A4" s="18" t="s">
        <v>3</v>
      </c>
      <c r="B4" s="19"/>
      <c r="C4" s="20"/>
      <c r="D4" s="21"/>
      <c r="E4" s="22"/>
      <c r="F4" s="22"/>
      <c r="I4" s="7"/>
    </row>
    <row r="5" spans="1:10"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4"/>
      <c r="I5" s="7"/>
    </row>
    <row r="6" spans="1:10"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4"/>
      <c r="I6" s="7"/>
    </row>
    <row r="7" spans="1:10"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4"/>
      <c r="I7" s="7"/>
    </row>
    <row r="8" spans="1:10" s="3" customFormat="1" ht="19.5" customHeight="1" x14ac:dyDescent="0.15">
      <c r="A8" s="23" t="str">
        <f>HLOOKUP($A$4,'Auto Responses'!$D$2:$D$8,5,0)&amp;""</f>
        <v>4. DO NOT complete any fields in the "Evaluation" sheets or the "Analyst Notes" column.</v>
      </c>
      <c r="B8" s="24"/>
      <c r="C8" s="25"/>
      <c r="D8" s="26"/>
      <c r="E8" s="24"/>
      <c r="F8" s="24"/>
      <c r="I8" s="7"/>
    </row>
    <row r="9" spans="1:10" s="3" customFormat="1" ht="19.5" customHeight="1" x14ac:dyDescent="0.15">
      <c r="A9" s="23" t="str">
        <f>HLOOKUP($A$4,'Auto Responses'!$D$2:$D$8,6,0)&amp;""</f>
        <v>5. Return the completed file to institutions.</v>
      </c>
      <c r="B9" s="24"/>
      <c r="C9" s="25"/>
      <c r="D9" s="26"/>
      <c r="E9" s="24"/>
      <c r="F9" s="24"/>
      <c r="I9" s="7"/>
    </row>
    <row r="10" spans="1:10"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4"/>
      <c r="I10" s="7"/>
    </row>
    <row r="11" spans="1:10" s="3" customFormat="1" ht="19.5" customHeight="1" x14ac:dyDescent="0.15">
      <c r="A11" s="30" t="str">
        <f>HLOOKUP($A$4,'Auto Responses'!$D$2:$D$9,8,0)&amp;""</f>
        <v>For full instructions, please visit educause.edu/HECVAT</v>
      </c>
      <c r="B11" s="24"/>
      <c r="C11" s="25"/>
      <c r="D11" s="26"/>
      <c r="E11" s="24"/>
      <c r="F11" s="24"/>
      <c r="I11" s="7"/>
    </row>
    <row r="12" spans="1:10" s="3" customFormat="1" ht="36" customHeight="1" x14ac:dyDescent="0.15">
      <c r="A12" s="32" t="str">
        <f>VLOOKUP(LEFT($A13,4),'Auto Responses'!$N$4:$O$38,2,0)&amp;""</f>
        <v xml:space="preserve"> General Information</v>
      </c>
      <c r="B12" s="19"/>
      <c r="C12" s="20" t="s">
        <v>21</v>
      </c>
      <c r="D12" s="34"/>
      <c r="E12" s="35"/>
      <c r="F12" s="35"/>
      <c r="I12" s="7"/>
      <c r="J12" s="7"/>
    </row>
    <row r="13" spans="1:10" s="3" customFormat="1" ht="21.75" customHeight="1" x14ac:dyDescent="0.15">
      <c r="A13" s="36" t="s">
        <v>4</v>
      </c>
      <c r="B13" s="37" t="str">
        <f>VLOOKUP($A13,Questions!$A$2:$X$333,2,0)&amp;""</f>
        <v>Solution Provider Name</v>
      </c>
      <c r="C13" s="38" t="str">
        <f>VLOOKUP($A13,'START HERE'!$A$13:$C$21,3,0)&amp;""</f>
        <v>SmartPLS GmbH</v>
      </c>
      <c r="D13" s="39"/>
      <c r="E13" s="39"/>
      <c r="F13" s="17"/>
      <c r="I13" s="7"/>
      <c r="J13" s="7"/>
    </row>
    <row r="14" spans="1:10" s="3" customFormat="1" ht="21.75" customHeight="1" x14ac:dyDescent="0.15">
      <c r="A14" s="36" t="s">
        <v>6</v>
      </c>
      <c r="B14" s="37" t="str">
        <f>VLOOKUP($A14,Questions!$A$2:$X$333,2,0)&amp;""</f>
        <v>Solution Name</v>
      </c>
      <c r="C14" s="38" t="str">
        <f>VLOOKUP($A14,'START HERE'!$A$13:$C$21,3,0)&amp;""</f>
        <v>SmartPLS 4.1.1.9 (SmartPLS Desktop)</v>
      </c>
      <c r="D14" s="39"/>
      <c r="E14" s="39"/>
      <c r="F14" s="17"/>
      <c r="I14" s="7"/>
      <c r="J14" s="7"/>
    </row>
    <row r="15" spans="1:10" s="3" customFormat="1" ht="21.75" customHeight="1" x14ac:dyDescent="0.15">
      <c r="A15" s="36" t="s">
        <v>7</v>
      </c>
      <c r="B15" s="37"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39"/>
      <c r="E15" s="39"/>
      <c r="F15" s="17"/>
      <c r="I15" s="7"/>
      <c r="J15" s="7"/>
    </row>
    <row r="16" spans="1:10" s="3" customFormat="1" ht="21.75" customHeight="1" x14ac:dyDescent="0.15">
      <c r="A16" s="36" t="s">
        <v>17</v>
      </c>
      <c r="B16" s="37" t="str">
        <f>VLOOKUP($A16,Questions!$A$2:$X$333,2,0)&amp;""</f>
        <v>Country of Company Headquarters</v>
      </c>
      <c r="C16" s="38" t="str">
        <f>VLOOKUP($A16,'START HERE'!$A$13:$C$21,3,0)&amp;""</f>
        <v>Germany</v>
      </c>
      <c r="D16" s="39"/>
      <c r="E16" s="39"/>
      <c r="F16" s="17"/>
      <c r="I16" s="7"/>
      <c r="J16" s="7"/>
    </row>
    <row r="17" spans="1:10" s="3" customFormat="1" ht="36.75" customHeight="1" x14ac:dyDescent="0.15">
      <c r="A17" s="32" t="str">
        <f>VLOOKUP(LEFT($A18,4),'Auto Responses'!$N$4:$O$38,2,0)&amp;""</f>
        <v xml:space="preserve"> Required Questions</v>
      </c>
      <c r="B17" s="41"/>
      <c r="C17" s="20" t="s">
        <v>21</v>
      </c>
      <c r="D17" s="20"/>
      <c r="E17" s="42" t="s">
        <v>23</v>
      </c>
      <c r="F17" s="53" t="s">
        <v>24</v>
      </c>
      <c r="I17" s="7"/>
      <c r="J17" s="7"/>
    </row>
    <row r="18" spans="1:10" s="3" customFormat="1" ht="40.5" customHeight="1" x14ac:dyDescent="0.15">
      <c r="A18" s="36" t="s">
        <v>36</v>
      </c>
      <c r="B18" s="44" t="str">
        <f>VLOOKUP($A18,Questions!$A$2:$X$333,2,0)</f>
        <v>Are you offering a cloud-based product?</v>
      </c>
      <c r="C18" s="74" t="str">
        <f>VLOOKUP($A18,'START HERE'!$A$23:$F$36,3,0)&amp;""</f>
        <v>No</v>
      </c>
      <c r="D18" s="75" t="str">
        <f>VLOOKUP($A18,'START HERE'!$A$23:$F$36,4,0)&amp;""</f>
        <v>SmartPLS is a locally installed Java application; it is not a cloud-hosted product.</v>
      </c>
      <c r="E18" s="47" t="str">
        <f>IF($C18='Auto Responses'!$J$3,VLOOKUP($A18,Questions!$A$2:$X$333,17,0)&amp;"",IF($C18='Auto Responses'!$J$4,VLOOKUP($A18,Questions!$A$2:$X$333,16,0)&amp;"",VLOOKUP($A18,Questions!$A$2:$X$333,15,0)&amp;""))</f>
        <v>DO NOT complete the Product and Infrastructure worksheets</v>
      </c>
      <c r="F18" s="48" t="str">
        <f>VLOOKUP($A18,'Institution Evaluation'!$A$56:$F$345,6,0)&amp;""</f>
        <v/>
      </c>
      <c r="G18" s="62" t="s">
        <v>35</v>
      </c>
      <c r="I18" s="7"/>
      <c r="J18" s="7"/>
    </row>
    <row r="19" spans="1:10" s="3" customFormat="1" ht="36.75" customHeight="1" x14ac:dyDescent="0.15">
      <c r="A19" s="32" t="str">
        <f>VLOOKUP(LEFT($A20,4),'Auto Responses'!$N$4:$O$38,2,0)&amp;""</f>
        <v xml:space="preserve"> Authentication, Authorization, and Account Management</v>
      </c>
      <c r="B19" s="41"/>
      <c r="C19" s="20" t="s">
        <v>21</v>
      </c>
      <c r="D19" s="20" t="s">
        <v>22</v>
      </c>
      <c r="E19" s="42" t="s">
        <v>23</v>
      </c>
      <c r="F19" s="53" t="s">
        <v>24</v>
      </c>
      <c r="I19" s="7"/>
      <c r="J19" s="7"/>
    </row>
    <row r="20" spans="1:10" s="3" customFormat="1" ht="97.5" customHeight="1" x14ac:dyDescent="0.15">
      <c r="A20" s="36" t="s">
        <v>124</v>
      </c>
      <c r="B20" s="44" t="str">
        <f>VLOOKUP($A20,Questions!$A$2:$X$333,2,0)</f>
        <v>Does your solution support single sign-on (SSO) protocols for user and administrator authentication?*</v>
      </c>
      <c r="C20" s="45" t="s">
        <v>75</v>
      </c>
      <c r="D20" s="46"/>
      <c r="E20" s="47" t="str">
        <f>IF($C$18='Auto Responses'!$J$4,'Auto Responses'!$A$3,IF($C20='Auto Responses'!$J$3,VLOOKUP($A20,Questions!$A$2:$X$333,17,0)&amp;"",IF($C20='Auto Responses'!$J$4,VLOOKUP($A20,Questions!$A$2:$X$333,16,0)&amp;"",VLOOKUP($A20,Questions!$A$2:$X$333,15,0)&amp;"")))</f>
        <v xml:space="preserve">Based on the response to REQU-01 on the "START HERE" tab, this question does not apply to this product or service. </v>
      </c>
      <c r="F20" s="48" t="str">
        <f>VLOOKUP($A20,'Institution Evaluation'!$A$56:$F$345,6,0)&amp;""</f>
        <v/>
      </c>
      <c r="I20" s="7"/>
      <c r="J20" s="7"/>
    </row>
    <row r="21" spans="1:10" s="3" customFormat="1" ht="45.75" customHeight="1" x14ac:dyDescent="0.15">
      <c r="A21" s="36" t="s">
        <v>125</v>
      </c>
      <c r="B21" s="44" t="str">
        <f>VLOOKUP($A21,Questions!$A$2:$X$333,2,0)</f>
        <v>For customers not using SSO, does your solution support local authentication protocols for user and administrator authentication?*</v>
      </c>
      <c r="C21" s="45" t="s">
        <v>75</v>
      </c>
      <c r="D21" s="46"/>
      <c r="E21" s="47" t="str">
        <f>IF($C21='Auto Responses'!$J$3,VLOOKUP($A21,Questions!$A$2:$X$333,17,0)&amp;"",IF($C21='Auto Responses'!$J$4,VLOOKUP($A21,Questions!$A$2:$X$333,16,0)&amp;"",IF($C21='Auto Responses'!$J$5,VLOOKUP($A21,Questions!$A$2:$X$333,18,0)&amp;"",VLOOKUP($A21,Questions!$A$2:$X$333,15,0)&amp;"")))</f>
        <v xml:space="preserve">N/A is only an acceptable answer if SSO is the only way users are able to log into your product. </v>
      </c>
      <c r="F21" s="48" t="str">
        <f>VLOOKUP($A21,'Institution Evaluation'!$A$56:$F$345,6,0)&amp;""</f>
        <v/>
      </c>
      <c r="I21" s="7"/>
      <c r="J21" s="7"/>
    </row>
    <row r="22" spans="1:10" s="3" customFormat="1" ht="48" customHeight="1" x14ac:dyDescent="0.15">
      <c r="A22" s="36" t="s">
        <v>126</v>
      </c>
      <c r="B22" s="44" t="str">
        <f>VLOOKUP($A22,Questions!$A$2:$X$333,2,0)</f>
        <v>For customers not using SSO, can you enforce password/passphrase complexity requirements (provided by the institution)?*</v>
      </c>
      <c r="C22" s="45" t="s">
        <v>75</v>
      </c>
      <c r="D22" s="46"/>
      <c r="E22" s="47" t="str">
        <f>IF($C22='Auto Responses'!$J$3,VLOOKUP($A22,Questions!$A$2:$X$333,17,0)&amp;"",IF($C22='Auto Responses'!$J$4,VLOOKUP($A22,Questions!$A$2:$X$333,16,0)&amp;"",IF($C22='Auto Responses'!$J$5,VLOOKUP($A22,Questions!$A$2:$X$333,18,0)&amp;"",VLOOKUP($A22,Questions!$A$2:$X$333,15,0)&amp;"")))</f>
        <v xml:space="preserve">N/A is only an acceptable answer if SSO is the only way users are able to log into your product. </v>
      </c>
      <c r="F22" s="48" t="str">
        <f>VLOOKUP($A22,'Institution Evaluation'!$A$56:$F$345,6,0)&amp;""</f>
        <v/>
      </c>
      <c r="I22" s="7"/>
      <c r="J22" s="7"/>
    </row>
    <row r="23" spans="1:10" s="3" customFormat="1" ht="72" customHeight="1" x14ac:dyDescent="0.15">
      <c r="A23" s="36" t="s">
        <v>127</v>
      </c>
      <c r="B23" s="44" t="str">
        <f>VLOOKUP($A23,Questions!$A$2:$X$333,2,0)</f>
        <v>For customers not using SSO, does the system have password complexity or length limitations and/or restrictions?*</v>
      </c>
      <c r="C23" s="45" t="s">
        <v>75</v>
      </c>
      <c r="D23" s="46"/>
      <c r="E23" s="47" t="str">
        <f>IF($C23='Auto Responses'!$J$3,VLOOKUP($A23,Questions!$A$2:$X$333,17,0)&amp;"",IF($C23='Auto Responses'!$J$4,VLOOKUP($A23,Questions!$A$2:$X$333,16,0)&amp;"",IF($C23='Auto Responses'!$J$5,VLOOKUP($A23,Questions!$A$2:$X$333,18,0)&amp;"",VLOOKUP($A23,Questions!$A$2:$X$333,15,0)&amp;"")))</f>
        <v xml:space="preserve">N/A is only an acceptable answer if SSO is the only way users are able to log into your product. </v>
      </c>
      <c r="F23" s="48" t="str">
        <f>VLOOKUP($A23,'Institution Evaluation'!$A$56:$F$345,6,0)&amp;""</f>
        <v/>
      </c>
      <c r="I23" s="7"/>
      <c r="J23" s="7"/>
    </row>
    <row r="24" spans="1:10" s="3" customFormat="1" ht="73.5" customHeight="1" x14ac:dyDescent="0.15">
      <c r="A24" s="36" t="s">
        <v>128</v>
      </c>
      <c r="B24" s="44" t="str">
        <f>VLOOKUP($A24,Questions!$A$2:$X$333,2,0)</f>
        <v>For customers not using SSO, do you have documented password/passphrase reset procedures that are currently implemented in the system and/or customer support?*</v>
      </c>
      <c r="C24" s="45" t="s">
        <v>75</v>
      </c>
      <c r="D24" s="46"/>
      <c r="E24" s="47" t="str">
        <f>IF($C24='Auto Responses'!$J$3,VLOOKUP($A24,Questions!$A$2:$X$333,17,0)&amp;"",IF($C24='Auto Responses'!$J$4,VLOOKUP($A24,Questions!$A$2:$X$333,16,0)&amp;"",IF($C24='Auto Responses'!$J$5,VLOOKUP($A24,Questions!$A$2:$X$333,18,0)&amp;"",VLOOKUP($A24,Questions!$A$2:$X$333,15,0)&amp;"")))</f>
        <v xml:space="preserve">N/A is only an acceptable answer if SSO is the only way users are able to log into your product. </v>
      </c>
      <c r="F24" s="48" t="str">
        <f>VLOOKUP($A24,'Institution Evaluation'!$A$56:$F$345,6,0)&amp;""</f>
        <v/>
      </c>
      <c r="H24" s="7"/>
      <c r="I24" s="7"/>
      <c r="J24" s="7"/>
    </row>
    <row r="25" spans="1:10" s="3" customFormat="1" ht="57.75" customHeight="1" x14ac:dyDescent="0.15">
      <c r="A25" s="36" t="s">
        <v>129</v>
      </c>
      <c r="B25" s="44" t="str">
        <f>VLOOKUP($A25,Questions!$A$2:$X$333,2,0)</f>
        <v>Does your organization participate in InCommon or another eduGAIN-affiliated trust federation?*</v>
      </c>
      <c r="C25" s="45" t="s">
        <v>75</v>
      </c>
      <c r="D25" s="46"/>
      <c r="E25" s="47" t="str">
        <f>IF($C$18='Auto Responses'!$J$4,'Auto Responses'!$A$3,IF($C25='Auto Responses'!$J$3,VLOOKUP($A25,Questions!$A$2:$X$333,17,0)&amp;"",IF($C25='Auto Responses'!$J$4,VLOOKUP($A25,Questions!$A$2:$X$333,16,0)&amp;"",VLOOKUP($A25,Questions!$A$2:$X$333,15,0)&amp;"")))</f>
        <v xml:space="preserve">Based on the response to REQU-01 on the "START HERE" tab, this question does not apply to this product or service. </v>
      </c>
      <c r="F25" s="48" t="str">
        <f>VLOOKUP($A25,'Institution Evaluation'!$A$56:$F$345,6,0)&amp;""</f>
        <v/>
      </c>
      <c r="I25" s="7"/>
      <c r="J25" s="7"/>
    </row>
    <row r="26" spans="1:10" s="3" customFormat="1" ht="38.25" customHeight="1" x14ac:dyDescent="0.15">
      <c r="A26" s="36" t="s">
        <v>130</v>
      </c>
      <c r="B26" s="44" t="str">
        <f>VLOOKUP($A26,Questions!$A$2:$X$333,2,0)</f>
        <v>Are there any passwords/passphrases hard-coded into your systems or solutions?*</v>
      </c>
      <c r="C26" s="45" t="s">
        <v>75</v>
      </c>
      <c r="D26" s="46"/>
      <c r="E26" s="47" t="str">
        <f>IF($C$18='Auto Responses'!$J$4,'Auto Responses'!$A$3,IF($C26='Auto Responses'!$J$3,VLOOKUP($A26,Questions!$A$2:$X$333,17,0)&amp;"",IF($C26='Auto Responses'!$J$4,VLOOKUP($A26,Questions!$A$2:$X$333,16,0)&amp;"",VLOOKUP($A26,Questions!$A$2:$X$333,15,0)&amp;"")))</f>
        <v xml:space="preserve">Based on the response to REQU-01 on the "START HERE" tab, this question does not apply to this product or service. </v>
      </c>
      <c r="F26" s="48" t="str">
        <f>VLOOKUP($A26,'Institution Evaluation'!$A$56:$F$345,6,0)&amp;""</f>
        <v/>
      </c>
      <c r="I26" s="7"/>
      <c r="J26" s="7"/>
    </row>
    <row r="27" spans="1:10" s="3" customFormat="1" ht="38.25" customHeight="1" x14ac:dyDescent="0.15">
      <c r="A27" s="36" t="s">
        <v>131</v>
      </c>
      <c r="B27" s="44" t="str">
        <f>VLOOKUP($A27,Questions!$A$2:$X$333,2,0)</f>
        <v>Are you storing any passwords in plaintext?*</v>
      </c>
      <c r="C27" s="45" t="s">
        <v>75</v>
      </c>
      <c r="D27" s="46"/>
      <c r="E27" s="47" t="str">
        <f>IF($C$18='Auto Responses'!$J$4,'Auto Responses'!$A$3,IF($C27='Auto Responses'!$J$3,VLOOKUP($A27,Questions!$A$2:$X$333,17,0)&amp;"",IF($C27='Auto Responses'!$J$4,VLOOKUP($A27,Questions!$A$2:$X$333,16,0)&amp;"",VLOOKUP($A27,Questions!$A$2:$X$333,15,0)&amp;"")))</f>
        <v xml:space="preserve">Based on the response to REQU-01 on the "START HERE" tab, this question does not apply to this product or service. </v>
      </c>
      <c r="F27" s="48" t="str">
        <f>VLOOKUP($A27,'Institution Evaluation'!$A$56:$F$345,6,0)&amp;""</f>
        <v/>
      </c>
      <c r="I27" s="7"/>
      <c r="J27" s="7"/>
    </row>
    <row r="28" spans="1:10" s="3" customFormat="1" ht="69.75" customHeight="1" x14ac:dyDescent="0.15">
      <c r="A28" s="36" t="s">
        <v>132</v>
      </c>
      <c r="B28" s="44" t="str">
        <f>VLOOKUP($A28,Questions!$A$2:$X$333,2,0)</f>
        <v>Are audit logs available that include AT LEAST all of the following: login, logout, actions performed, and source IP address?*</v>
      </c>
      <c r="C28" s="45" t="s">
        <v>75</v>
      </c>
      <c r="D28" s="46"/>
      <c r="E28" s="47" t="str">
        <f>IF($C$18='Auto Responses'!$J$4,'Auto Responses'!$A$3,IF($C28='Auto Responses'!$J$3,VLOOKUP($A28,Questions!$A$2:$X$333,17,0)&amp;"",IF($C28='Auto Responses'!$J$4,VLOOKUP($A28,Questions!$A$2:$X$333,16,0)&amp;"",VLOOKUP($A28,Questions!$A$2:$X$333,15,0)&amp;"")))</f>
        <v xml:space="preserve">Based on the response to REQU-01 on the "START HERE" tab, this question does not apply to this product or service. </v>
      </c>
      <c r="F28" s="48" t="str">
        <f>VLOOKUP($A28,'Institution Evaluation'!$A$56:$F$345,6,0)&amp;""</f>
        <v/>
      </c>
      <c r="I28" s="7"/>
      <c r="J28" s="7"/>
    </row>
    <row r="29" spans="1:10" s="3" customFormat="1" ht="104.25" customHeight="1" x14ac:dyDescent="0.15">
      <c r="A29" s="36" t="s">
        <v>133</v>
      </c>
      <c r="B29" s="44"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76" t="s">
        <v>75</v>
      </c>
      <c r="D29" s="50"/>
      <c r="E29" s="47" t="str">
        <f>IF($C$18='Auto Responses'!$J$4,'Auto Responses'!$A$3,IF($C29='Auto Responses'!$J$3,VLOOKUP($A29,Questions!$A$2:$X$333,17,0)&amp;"",IF($C29='Auto Responses'!$J$4,VLOOKUP($A29,Questions!$A$2:$X$333,16,0)&amp;"",VLOOKUP($A29,Questions!$A$2:$X$333,15,0)&amp;"")))</f>
        <v xml:space="preserve">Based on the response to REQU-01 on the "START HERE" tab, this question does not apply to this product or service. </v>
      </c>
      <c r="F29" s="48" t="str">
        <f>VLOOKUP($A29,'Institution Evaluation'!$A$56:$F$345,6,0)&amp;""</f>
        <v/>
      </c>
      <c r="I29" s="7"/>
      <c r="J29" s="7"/>
    </row>
    <row r="30" spans="1:10" s="3" customFormat="1" ht="48" customHeight="1" x14ac:dyDescent="0.15">
      <c r="A30" s="36" t="s">
        <v>134</v>
      </c>
      <c r="B30" s="44" t="str">
        <f>VLOOKUP($A30,Questions!$A$2:$X$333,2,0)</f>
        <v>Can you provide the institution documentation regarding the retention period for those logs, how logs are protected, and whether they are accessible to the customer (and if so, how)?*</v>
      </c>
      <c r="C30" s="45" t="s">
        <v>75</v>
      </c>
      <c r="D30" s="46"/>
      <c r="E30" s="47" t="str">
        <f>IF($C$18='Auto Responses'!$J$4,'Auto Responses'!$A$3,IF($C30='Auto Responses'!$J$3,VLOOKUP($A30,Questions!$A$2:$X$333,17,0)&amp;"",IF($C30='Auto Responses'!$J$4,VLOOKUP($A30,Questions!$A$2:$X$333,16,0)&amp;"",VLOOKUP($A30,Questions!$A$2:$X$333,15,0)&amp;"")))</f>
        <v xml:space="preserve">Based on the response to REQU-01 on the "START HERE" tab, this question does not apply to this product or service. </v>
      </c>
      <c r="F30" s="48" t="str">
        <f>VLOOKUP($A30,'Institution Evaluation'!$A$56:$F$345,6,0)&amp;""</f>
        <v/>
      </c>
      <c r="I30" s="7"/>
      <c r="J30" s="7"/>
    </row>
    <row r="31" spans="1:10" s="3" customFormat="1" ht="55.5" customHeight="1" x14ac:dyDescent="0.15">
      <c r="A31" s="36" t="s">
        <v>135</v>
      </c>
      <c r="B31" s="44" t="str">
        <f>VLOOKUP($A31,Questions!$A$2:$X$333,2,0)</f>
        <v>For customers not using SSO, does your application support integration with other authentication and authorization systems?</v>
      </c>
      <c r="C31" s="45" t="s">
        <v>75</v>
      </c>
      <c r="D31" s="46"/>
      <c r="E31" s="47" t="str">
        <f>IF($C$18='Auto Responses'!$J$4,'Auto Responses'!$A$3,IF($C31='Auto Responses'!$J$3,VLOOKUP($A31,Questions!$A$2:$X$333,17,0)&amp;"",IF($C31='Auto Responses'!$J$4,VLOOKUP($A31,Questions!$A$2:$X$333,16,0)&amp;"",VLOOKUP($A31,Questions!$A$2:$X$333,15,0)&amp;"")))</f>
        <v xml:space="preserve">Based on the response to REQU-01 on the "START HERE" tab, this question does not apply to this product or service. </v>
      </c>
      <c r="F31" s="48" t="str">
        <f>VLOOKUP($A31,'Institution Evaluation'!$A$56:$F$345,6,0)&amp;""</f>
        <v/>
      </c>
      <c r="I31" s="7"/>
      <c r="J31" s="7"/>
    </row>
    <row r="32" spans="1:10" s="3" customFormat="1" ht="51.75" customHeight="1" x14ac:dyDescent="0.15">
      <c r="A32" s="36" t="s">
        <v>136</v>
      </c>
      <c r="B32" s="44" t="str">
        <f>VLOOKUP($A32,Questions!$A$2:$X$333,2,0)</f>
        <v>Do you allow the customer to specify attribute mappings for any needed information beyond a user identifier? (e.g., Reference eduPerson, ePPA/ePPN/ePE)</v>
      </c>
      <c r="C32" s="45" t="s">
        <v>75</v>
      </c>
      <c r="D32" s="46"/>
      <c r="E32" s="47" t="str">
        <f>IF($C$18='Auto Responses'!$J$4,'Auto Responses'!$A$3,IF($C32='Auto Responses'!$J$3,VLOOKUP($A32,Questions!$A$2:$X$333,17,0)&amp;"",IF($C32='Auto Responses'!$J$4,VLOOKUP($A32,Questions!$A$2:$X$333,16,0)&amp;"",VLOOKUP($A32,Questions!$A$2:$X$333,15,0)&amp;"")))</f>
        <v xml:space="preserve">Based on the response to REQU-01 on the "START HERE" tab, this question does not apply to this product or service. </v>
      </c>
      <c r="F32" s="48" t="str">
        <f>VLOOKUP($A32,'Institution Evaluation'!$A$56:$F$345,6,0)&amp;""</f>
        <v/>
      </c>
      <c r="I32" s="7"/>
      <c r="J32" s="7"/>
    </row>
    <row r="33" spans="1:10" s="3" customFormat="1" ht="60" customHeight="1" x14ac:dyDescent="0.15">
      <c r="A33" s="36" t="s">
        <v>137</v>
      </c>
      <c r="B33" s="44" t="str">
        <f>VLOOKUP($A33,Questions!$A$2:$X$333,2,0)</f>
        <v>For customers not using SSO, does your application support directory integration for user accounts?</v>
      </c>
      <c r="C33" s="45" t="s">
        <v>75</v>
      </c>
      <c r="D33" s="46"/>
      <c r="E33" s="47" t="str">
        <f>IF($C33='Auto Responses'!$J$3,VLOOKUP($A33,Questions!$A$2:$X$333,17,0)&amp;"",IF($C33='Auto Responses'!$J$4,VLOOKUP($A33,Questions!$A$2:$X$333,16,0)&amp;"",IF($C33='Auto Responses'!$J$5,VLOOKUP($A33,Questions!$A$2:$X$333,18,0)&amp;"",VLOOKUP($A33,Questions!$A$2:$X$333,15,0)&amp;"")))</f>
        <v xml:space="preserve">N/A is only an acceptable answer if SSO is the only way users are able to log into your product. </v>
      </c>
      <c r="F33" s="48" t="str">
        <f>VLOOKUP($A33,'Institution Evaluation'!$A$56:$F$345,6,0)&amp;""</f>
        <v/>
      </c>
      <c r="I33" s="7"/>
      <c r="J33" s="7"/>
    </row>
    <row r="34" spans="1:10" s="3" customFormat="1" ht="75" customHeight="1" x14ac:dyDescent="0.15">
      <c r="A34" s="36" t="s">
        <v>138</v>
      </c>
      <c r="B34" s="44" t="str">
        <f>VLOOKUP($A34,Questions!$A$2:$X$333,2,0)</f>
        <v>Does your solution support any of the following web SSO standards: SAML2 (with redirect flow), OIDC, CAS, or other?</v>
      </c>
      <c r="C34" s="45" t="s">
        <v>75</v>
      </c>
      <c r="D34" s="46"/>
      <c r="E34" s="47" t="str">
        <f>IF($C$18='Auto Responses'!$J$4,'Auto Responses'!$A$3,IF($C34='Auto Responses'!$J$3,VLOOKUP($A34,Questions!$A$2:$X$333,17,0)&amp;"",IF($C34='Auto Responses'!$J$4,VLOOKUP($A34,Questions!$A$2:$X$333,16,0)&amp;"",VLOOKUP($A34,Questions!$A$2:$X$333,15,0)&amp;"")))</f>
        <v xml:space="preserve">Based on the response to REQU-01 on the "START HERE" tab, this question does not apply to this product or service. </v>
      </c>
      <c r="F34" s="48" t="str">
        <f>VLOOKUP($A34,'Institution Evaluation'!$A$56:$F$345,6,0)&amp;""</f>
        <v/>
      </c>
      <c r="I34" s="7"/>
      <c r="J34" s="7"/>
    </row>
    <row r="35" spans="1:10" s="3" customFormat="1" ht="70.5" customHeight="1" x14ac:dyDescent="0.15">
      <c r="A35" s="36" t="s">
        <v>139</v>
      </c>
      <c r="B35" s="44" t="str">
        <f>VLOOKUP($A35,Questions!$A$2:$X$333,2,0)</f>
        <v>Do you support differentiation between email address and user identifier?</v>
      </c>
      <c r="C35" s="45" t="s">
        <v>75</v>
      </c>
      <c r="D35" s="46"/>
      <c r="E35" s="47" t="str">
        <f>IF($C$18='Auto Responses'!$J$4,'Auto Responses'!$A$3,IF($C35='Auto Responses'!$J$3,VLOOKUP($A35,Questions!$A$2:$X$333,17,0)&amp;"",IF($C35='Auto Responses'!$J$4,VLOOKUP($A35,Questions!$A$2:$X$333,16,0)&amp;"",VLOOKUP($A35,Questions!$A$2:$X$333,15,0)&amp;"")))</f>
        <v xml:space="preserve">Based on the response to REQU-01 on the "START HERE" tab, this question does not apply to this product or service. </v>
      </c>
      <c r="F35" s="48" t="str">
        <f>VLOOKUP($A35,'Institution Evaluation'!$A$56:$F$345,6,0)&amp;""</f>
        <v/>
      </c>
      <c r="I35" s="7"/>
      <c r="J35" s="7"/>
    </row>
    <row r="36" spans="1:10" s="3" customFormat="1" ht="57.75" customHeight="1" x14ac:dyDescent="0.15">
      <c r="A36" s="36" t="s">
        <v>140</v>
      </c>
      <c r="B36" s="44" t="str">
        <f>VLOOKUP($A36,Questions!$A$2:$X$333,2,0)</f>
        <v>For customers not using SSO, does your application and/or user frontend/portal support multifactor authentication (e.g., Duo, Google Authenticator, OTP, etc.)?</v>
      </c>
      <c r="C36" s="45" t="s">
        <v>75</v>
      </c>
      <c r="D36" s="46"/>
      <c r="E36" s="47" t="str">
        <f>IF($C36='Auto Responses'!$J$3,VLOOKUP($A36,Questions!$A$2:$X$333,17,0)&amp;"",IF($C36='Auto Responses'!$J$4,VLOOKUP($A36,Questions!$A$2:$X$333,16,0)&amp;"",IF($C36='Auto Responses'!$J$5,VLOOKUP($A36,Questions!$A$2:$X$333,18,0)&amp;"",VLOOKUP($A36,Questions!$A$2:$X$333,15,0)&amp;"")))</f>
        <v xml:space="preserve">N/A is only an acceptable answer if SSO is the only way users are able to log into your product. </v>
      </c>
      <c r="F36" s="48" t="str">
        <f>VLOOKUP($A36,'Institution Evaluation'!$A$56:$F$345,6,0)&amp;""</f>
        <v/>
      </c>
      <c r="I36" s="7"/>
      <c r="J36" s="7"/>
    </row>
    <row r="37" spans="1:10" s="3" customFormat="1" ht="99" customHeight="1" x14ac:dyDescent="0.15">
      <c r="A37" s="36" t="s">
        <v>141</v>
      </c>
      <c r="B37" s="44" t="str">
        <f>VLOOKUP($A37,Questions!$A$2:$X$333,2,0)</f>
        <v>Does your application automatically lock the session or log out an account after a period of inactivity?</v>
      </c>
      <c r="C37" s="45" t="s">
        <v>75</v>
      </c>
      <c r="D37" s="46"/>
      <c r="E37" s="47" t="str">
        <f>IF($C$18='Auto Responses'!$J$4,'Auto Responses'!$A$3,IF($C37='Auto Responses'!$J$3,VLOOKUP($A37,Questions!$A$2:$X$333,17,0)&amp;"",IF($C37='Auto Responses'!$J$4,VLOOKUP($A37,Questions!$A$2:$X$333,16,0)&amp;"",VLOOKUP($A37,Questions!$A$2:$X$333,15,0)&amp;"")))</f>
        <v xml:space="preserve">Based on the response to REQU-01 on the "START HERE" tab, this question does not apply to this product or service. </v>
      </c>
      <c r="F37" s="48" t="str">
        <f>VLOOKUP($A37,'Institution Evaluation'!$A$56:$F$345,6,0)&amp;""</f>
        <v/>
      </c>
      <c r="G37" s="62" t="s">
        <v>35</v>
      </c>
      <c r="I37" s="7"/>
      <c r="J37" s="7"/>
    </row>
    <row r="38" spans="1:10" s="3" customFormat="1" ht="36.75" customHeight="1" x14ac:dyDescent="0.15">
      <c r="A38" s="32" t="str">
        <f>VLOOKUP(LEFT($A39,4),'Auto Responses'!$N$4:$O$38,2,0)&amp;""</f>
        <v xml:space="preserve"> Data</v>
      </c>
      <c r="B38" s="41"/>
      <c r="C38" s="20" t="s">
        <v>21</v>
      </c>
      <c r="D38" s="20" t="s">
        <v>22</v>
      </c>
      <c r="E38" s="42" t="s">
        <v>23</v>
      </c>
      <c r="F38" s="53" t="s">
        <v>24</v>
      </c>
      <c r="I38" s="7"/>
      <c r="J38" s="7"/>
    </row>
    <row r="39" spans="1:10" s="3" customFormat="1" ht="72" customHeight="1" x14ac:dyDescent="0.15">
      <c r="A39" s="36" t="s">
        <v>142</v>
      </c>
      <c r="B39" s="44" t="str">
        <f>VLOOKUP($A39,Questions!$A$2:$X$333,2,0)</f>
        <v>Will the institution's data be stored on any devices (database servers, file servers, SAN, NAS, etc.) configured with non-RFC 1918/4193 (i.e., publicly routable) IP addresses?*</v>
      </c>
      <c r="C39" s="45" t="s">
        <v>75</v>
      </c>
      <c r="D39" s="46"/>
      <c r="E39" s="47" t="str">
        <f>IF($C$18='Auto Responses'!$J$4,'Auto Responses'!$A$3,IF($C39='Auto Responses'!$J$3,VLOOKUP($A39,Questions!$A$2:$X$333,17,0)&amp;"",IF($C39='Auto Responses'!$J$4,VLOOKUP($A39,Questions!$A$2:$X$333,16,0)&amp;"",VLOOKUP($A39,Questions!$A$2:$X$333,15,0)&amp;"")))</f>
        <v xml:space="preserve">Based on the response to REQU-01 on the "START HERE" tab, this question does not apply to this product or service. </v>
      </c>
      <c r="F39" s="48" t="str">
        <f>VLOOKUP($A39,'Institution Evaluation'!$A$56:$F$345,6,0)&amp;""</f>
        <v/>
      </c>
      <c r="I39" s="7"/>
      <c r="J39" s="7"/>
    </row>
    <row r="40" spans="1:10" s="3" customFormat="1" ht="61.5" customHeight="1" x14ac:dyDescent="0.15">
      <c r="A40" s="36" t="s">
        <v>143</v>
      </c>
      <c r="B40" s="44" t="str">
        <f>VLOOKUP($A40,Questions!$A$2:$X$333,2,0)</f>
        <v>Is the transport of sensitive data encrypted using security protocols/algorithms (e.g., system-to-client)?*</v>
      </c>
      <c r="C40" s="45" t="s">
        <v>75</v>
      </c>
      <c r="D40" s="46"/>
      <c r="E40" s="47" t="str">
        <f>IF($C$18='Auto Responses'!$J$4,'Auto Responses'!$A$3,IF($C40='Auto Responses'!$J$3,VLOOKUP($A40,Questions!$A$2:$X$333,17,0)&amp;"",IF($C40='Auto Responses'!$J$4,VLOOKUP($A40,Questions!$A$2:$X$333,16,0)&amp;"",VLOOKUP($A40,Questions!$A$2:$X$333,15,0)&amp;"")))</f>
        <v xml:space="preserve">Based on the response to REQU-01 on the "START HERE" tab, this question does not apply to this product or service. </v>
      </c>
      <c r="F40" s="48" t="str">
        <f>VLOOKUP($A40,'Institution Evaluation'!$A$56:$F$345,6,0)&amp;""</f>
        <v/>
      </c>
      <c r="I40" s="7"/>
      <c r="J40" s="7"/>
    </row>
    <row r="41" spans="1:10" s="3" customFormat="1" ht="52.5" customHeight="1" x14ac:dyDescent="0.15">
      <c r="A41" s="36" t="s">
        <v>144</v>
      </c>
      <c r="B41" s="44" t="str">
        <f>VLOOKUP($A41,Questions!$A$2:$X$333,2,0)</f>
        <v>Is the storage of sensitive data encrypted using security protocols/algorithms (e.g., disk encryption, at-rest, files, and within a running database)?*</v>
      </c>
      <c r="C41" s="45" t="s">
        <v>75</v>
      </c>
      <c r="D41" s="46"/>
      <c r="E41" s="47" t="str">
        <f>IF($C$18='Auto Responses'!$J$4,'Auto Responses'!$A$3,IF($C41='Auto Responses'!$J$3,VLOOKUP($A41,Questions!$A$2:$X$333,17,0)&amp;"",IF($C41='Auto Responses'!$J$4,VLOOKUP($A41,Questions!$A$2:$X$333,16,0)&amp;"",VLOOKUP($A41,Questions!$A$2:$X$333,15,0)&amp;"")))</f>
        <v xml:space="preserve">Based on the response to REQU-01 on the "START HERE" tab, this question does not apply to this product or service. </v>
      </c>
      <c r="F41" s="48" t="str">
        <f>VLOOKUP($A41,'Institution Evaluation'!$A$56:$F$345,6,0)&amp;""</f>
        <v/>
      </c>
      <c r="I41" s="7"/>
      <c r="J41" s="7"/>
    </row>
    <row r="42" spans="1:10" s="3" customFormat="1" ht="51.75" customHeight="1" x14ac:dyDescent="0.15">
      <c r="A42" s="36" t="s">
        <v>145</v>
      </c>
      <c r="B42" s="44" t="str">
        <f>VLOOKUP($A42,Questions!$A$2:$X$333,2,0)</f>
        <v>Do all cryptographic modules in use in your solution conform to the Federal Information Processing Standards (FIPS PUB 140-2 or 140-3)?*</v>
      </c>
      <c r="C42" s="45" t="s">
        <v>75</v>
      </c>
      <c r="D42" s="46"/>
      <c r="E42" s="47" t="str">
        <f>IF($C$18='Auto Responses'!$J$4,'Auto Responses'!$A$3,IF($C42='Auto Responses'!$J$3,VLOOKUP($A42,Questions!$A$2:$X$333,17,0)&amp;"",IF($C42='Auto Responses'!$J$4,VLOOKUP($A42,Questions!$A$2:$X$333,16,0)&amp;"",VLOOKUP($A42,Questions!$A$2:$X$333,15,0)&amp;"")))</f>
        <v xml:space="preserve">Based on the response to REQU-01 on the "START HERE" tab, this question does not apply to this product or service. </v>
      </c>
      <c r="F42" s="48" t="str">
        <f>VLOOKUP($A42,'Institution Evaluation'!$A$56:$F$345,6,0)&amp;""</f>
        <v/>
      </c>
      <c r="I42" s="7"/>
      <c r="J42" s="7"/>
    </row>
    <row r="43" spans="1:10" s="3" customFormat="1" ht="38.25" customHeight="1" x14ac:dyDescent="0.15">
      <c r="A43" s="36" t="s">
        <v>146</v>
      </c>
      <c r="B43" s="44" t="str">
        <f>VLOOKUP($A43,Questions!$A$2:$X$333,2,0)</f>
        <v>Will the institution's data be available within the system for a period of time at the completion of this contract?*</v>
      </c>
      <c r="C43" s="45" t="s">
        <v>75</v>
      </c>
      <c r="D43" s="46"/>
      <c r="E43" s="47" t="str">
        <f>IF($C$18='Auto Responses'!$J$4,'Auto Responses'!$A$3,IF($C43='Auto Responses'!$J$3,VLOOKUP($A43,Questions!$A$2:$X$333,17,0)&amp;"",IF($C43='Auto Responses'!$J$4,VLOOKUP($A43,Questions!$A$2:$X$333,16,0)&amp;"",VLOOKUP($A43,Questions!$A$2:$X$333,15,0)&amp;"")))</f>
        <v xml:space="preserve">Based on the response to REQU-01 on the "START HERE" tab, this question does not apply to this product or service. </v>
      </c>
      <c r="F43" s="48" t="str">
        <f>VLOOKUP($A43,'Institution Evaluation'!$A$56:$F$345,6,0)&amp;""</f>
        <v/>
      </c>
      <c r="I43" s="7"/>
      <c r="J43" s="7"/>
    </row>
    <row r="44" spans="1:10" s="3" customFormat="1" ht="38.25" customHeight="1" x14ac:dyDescent="0.15">
      <c r="A44" s="36" t="s">
        <v>147</v>
      </c>
      <c r="B44" s="44" t="str">
        <f>VLOOKUP($A44,Questions!$A$2:$X$333,2,0)</f>
        <v>Are ownership rights to all data, inputs, outputs, and metadata retained even through a provider acquisition or bankruptcy event?*</v>
      </c>
      <c r="C44" s="45" t="s">
        <v>75</v>
      </c>
      <c r="D44" s="46"/>
      <c r="E44" s="47" t="str">
        <f>IF($C$18='Auto Responses'!$J$4,'Auto Responses'!$A$3,IF($C44='Auto Responses'!$J$3,VLOOKUP($A44,Questions!$A$2:$X$333,17,0)&amp;"",IF($C44='Auto Responses'!$J$4,VLOOKUP($A44,Questions!$A$2:$X$333,16,0)&amp;"",VLOOKUP($A44,Questions!$A$2:$X$333,15,0)&amp;"")))</f>
        <v xml:space="preserve">Based on the response to REQU-01 on the "START HERE" tab, this question does not apply to this product or service. </v>
      </c>
      <c r="F44" s="48" t="str">
        <f>VLOOKUP($A44,'Institution Evaluation'!$A$56:$F$345,6,0)&amp;""</f>
        <v/>
      </c>
      <c r="I44" s="7"/>
      <c r="J44" s="7"/>
    </row>
    <row r="45" spans="1:10" s="3" customFormat="1" ht="38.25" customHeight="1" x14ac:dyDescent="0.15">
      <c r="A45" s="36" t="s">
        <v>148</v>
      </c>
      <c r="B45" s="44" t="str">
        <f>VLOOKUP($A45,Questions!$A$2:$X$333,2,0)</f>
        <v>Do backups containing the institution's data ever leave the institution's data zone either physically or via network routing?*</v>
      </c>
      <c r="C45" s="45" t="s">
        <v>75</v>
      </c>
      <c r="D45" s="46"/>
      <c r="E45" s="47" t="str">
        <f>IF($C$18='Auto Responses'!$J$4,'Auto Responses'!$A$3,IF($C45='Auto Responses'!$J$3,VLOOKUP($A45,Questions!$A$2:$X$333,17,0)&amp;"",IF($C45='Auto Responses'!$J$4,VLOOKUP($A45,Questions!$A$2:$X$333,16,0)&amp;"",VLOOKUP($A45,Questions!$A$2:$X$333,15,0)&amp;"")))</f>
        <v xml:space="preserve">Based on the response to REQU-01 on the "START HERE" tab, this question does not apply to this product or service. </v>
      </c>
      <c r="F45" s="48" t="str">
        <f>VLOOKUP($A45,'Institution Evaluation'!$A$56:$F$345,6,0)&amp;""</f>
        <v/>
      </c>
      <c r="I45" s="7"/>
      <c r="J45" s="7"/>
    </row>
    <row r="46" spans="1:10" s="3" customFormat="1" ht="38.25" customHeight="1" x14ac:dyDescent="0.15">
      <c r="A46" s="36" t="s">
        <v>149</v>
      </c>
      <c r="B46" s="44" t="str">
        <f>VLOOKUP($A46,Questions!$A$2:$X$333,2,0)</f>
        <v>Is media used for long-term retention of business data and archival purposes stored in a secure, environmentally protected area?*</v>
      </c>
      <c r="C46" s="45" t="s">
        <v>75</v>
      </c>
      <c r="D46" s="46"/>
      <c r="E46" s="47" t="str">
        <f>IF($C$18='Auto Responses'!$J$4,'Auto Responses'!$A$3,IF($C46='Auto Responses'!$J$3,VLOOKUP($A46,Questions!$A$2:$X$333,17,0)&amp;"",IF($C46='Auto Responses'!$J$4,VLOOKUP($A46,Questions!$A$2:$X$333,16,0)&amp;"",VLOOKUP($A46,Questions!$A$2:$X$333,15,0)&amp;"")))</f>
        <v xml:space="preserve">Based on the response to REQU-01 on the "START HERE" tab, this question does not apply to this product or service. </v>
      </c>
      <c r="F46" s="48" t="str">
        <f>VLOOKUP($A46,'Institution Evaluation'!$A$56:$F$345,6,0)&amp;""</f>
        <v/>
      </c>
      <c r="I46" s="7"/>
      <c r="J46" s="7"/>
    </row>
    <row r="47" spans="1:10" s="3" customFormat="1" ht="48" customHeight="1" x14ac:dyDescent="0.15">
      <c r="A47" s="36" t="s">
        <v>150</v>
      </c>
      <c r="B47" s="44" t="str">
        <f>VLOOKUP($A47,Questions!$A$2:$X$333,2,0)</f>
        <v>At the completion of this contract, will data be returned to the institution and/or deleted from all your systems and archives?</v>
      </c>
      <c r="C47" s="45" t="s">
        <v>75</v>
      </c>
      <c r="D47" s="46"/>
      <c r="E47" s="47" t="str">
        <f>IF($C$18='Auto Responses'!$J$4,'Auto Responses'!$A$3,IF($C47='Auto Responses'!$J$3,VLOOKUP($A47,Questions!$A$2:$X$333,17,0)&amp;"",IF($C47='Auto Responses'!$J$4,VLOOKUP($A47,Questions!$A$2:$X$333,16,0)&amp;"",VLOOKUP($A47,Questions!$A$2:$X$333,15,0)&amp;"")))</f>
        <v xml:space="preserve">Based on the response to REQU-01 on the "START HERE" tab, this question does not apply to this product or service. </v>
      </c>
      <c r="F47" s="48" t="str">
        <f>VLOOKUP($A47,'Institution Evaluation'!$A$56:$F$345,6,0)&amp;""</f>
        <v/>
      </c>
      <c r="I47" s="7"/>
      <c r="J47" s="7"/>
    </row>
    <row r="48" spans="1:10" s="3" customFormat="1" ht="38.25" customHeight="1" x14ac:dyDescent="0.15">
      <c r="A48" s="36" t="s">
        <v>151</v>
      </c>
      <c r="B48" s="44" t="str">
        <f>VLOOKUP($A48,Questions!$A$2:$X$333,2,0)</f>
        <v>Can the institution extract a full or partial backup of data?</v>
      </c>
      <c r="C48" s="45" t="s">
        <v>75</v>
      </c>
      <c r="D48" s="46"/>
      <c r="E48" s="47" t="str">
        <f>IF($C$18='Auto Responses'!$J$4,'Auto Responses'!$A$3,IF($C48='Auto Responses'!$J$3,VLOOKUP($A48,Questions!$A$2:$X$333,17,0)&amp;"",IF($C48='Auto Responses'!$J$4,VLOOKUP($A48,Questions!$A$2:$X$333,16,0)&amp;"",VLOOKUP($A48,Questions!$A$2:$X$333,15,0)&amp;"")))</f>
        <v xml:space="preserve">Based on the response to REQU-01 on the "START HERE" tab, this question does not apply to this product or service. </v>
      </c>
      <c r="F48" s="48" t="str">
        <f>VLOOKUP($A48,'Institution Evaluation'!$A$56:$F$345,6,0)&amp;""</f>
        <v/>
      </c>
      <c r="I48" s="7"/>
      <c r="J48" s="7"/>
    </row>
    <row r="49" spans="1:10" s="3" customFormat="1" ht="54" customHeight="1" x14ac:dyDescent="0.15">
      <c r="A49" s="36" t="s">
        <v>152</v>
      </c>
      <c r="B49" s="44" t="str">
        <f>VLOOKUP($A49,Questions!$A$2:$X$333,2,0)</f>
        <v>Do current backups include all operating system software, utilities, security software, application software, and data files necessary for recovery?</v>
      </c>
      <c r="C49" s="45" t="s">
        <v>75</v>
      </c>
      <c r="D49" s="46"/>
      <c r="E49" s="47" t="str">
        <f>IF($C$18='Auto Responses'!$J$4,'Auto Responses'!$A$3,IF($C49='Auto Responses'!$J$3,VLOOKUP($A49,Questions!$A$2:$X$333,17,0)&amp;"",IF($C49='Auto Responses'!$J$4,VLOOKUP($A49,Questions!$A$2:$X$333,16,0)&amp;"",VLOOKUP($A49,Questions!$A$2:$X$333,15,0)&amp;"")))</f>
        <v xml:space="preserve">Based on the response to REQU-01 on the "START HERE" tab, this question does not apply to this product or service. </v>
      </c>
      <c r="F49" s="48" t="str">
        <f>VLOOKUP($A49,'Institution Evaluation'!$A$56:$F$345,6,0)&amp;""</f>
        <v/>
      </c>
      <c r="I49" s="7"/>
      <c r="J49" s="7"/>
    </row>
    <row r="50" spans="1:10" s="3" customFormat="1" ht="53.25" customHeight="1" x14ac:dyDescent="0.15">
      <c r="A50" s="36" t="s">
        <v>153</v>
      </c>
      <c r="B50" s="44" t="str">
        <f>VLOOKUP($A50,Questions!$A$2:$X$333,2,0)</f>
        <v>Are you performing off-site backups (i.e., digitally moved off site)?</v>
      </c>
      <c r="C50" s="45" t="s">
        <v>75</v>
      </c>
      <c r="D50" s="46"/>
      <c r="E50" s="47" t="str">
        <f>IF($C$18='Auto Responses'!$J$4,'Auto Responses'!$A$3,IF($C50='Auto Responses'!$J$3,VLOOKUP($A50,Questions!$A$2:$X$333,17,0)&amp;"",IF($C50='Auto Responses'!$J$4,VLOOKUP($A50,Questions!$A$2:$X$333,16,0)&amp;"",VLOOKUP($A50,Questions!$A$2:$X$333,15,0)&amp;"")))</f>
        <v xml:space="preserve">Based on the response to REQU-01 on the "START HERE" tab, this question does not apply to this product or service. </v>
      </c>
      <c r="F50" s="48" t="str">
        <f>VLOOKUP($A50,'Institution Evaluation'!$A$56:$F$345,6,0)&amp;""</f>
        <v/>
      </c>
      <c r="I50" s="7"/>
      <c r="J50" s="7"/>
    </row>
    <row r="51" spans="1:10" s="3" customFormat="1" ht="51.75" customHeight="1" x14ac:dyDescent="0.15">
      <c r="A51" s="36" t="s">
        <v>154</v>
      </c>
      <c r="B51" s="44" t="str">
        <f>VLOOKUP($A51,Questions!$A$2:$X$333,2,0)</f>
        <v>Are physical backups taken off-site (i.e., physically moved off site)?</v>
      </c>
      <c r="C51" s="45" t="s">
        <v>75</v>
      </c>
      <c r="D51" s="46"/>
      <c r="E51" s="47" t="str">
        <f>IF($C51='Auto Responses'!$J$3,VLOOKUP($A51,Questions!$A$2:$X$333,17,0)&amp;"",IF($C51='Auto Responses'!$J$4,VLOOKUP($A51,Questions!$A$2:$X$333,16,0)&amp;"",IF($C51='Auto Responses'!$J$5,VLOOKUP($A51,Questions!$A$2:$X$333,18,0)&amp;"",VLOOKUP($A51,Questions!$A$2:$X$333,15,0)&amp;"")))</f>
        <v>Please explain why this does not apply to your organization, product or service.</v>
      </c>
      <c r="F51" s="48" t="str">
        <f>VLOOKUP($A51,'Institution Evaluation'!$A$56:$F$345,6,0)&amp;""</f>
        <v/>
      </c>
      <c r="I51" s="7"/>
      <c r="J51" s="7"/>
    </row>
    <row r="52" spans="1:10" s="3" customFormat="1" ht="75.75" customHeight="1" x14ac:dyDescent="0.15">
      <c r="A52" s="36" t="s">
        <v>155</v>
      </c>
      <c r="B52" s="44" t="str">
        <f>VLOOKUP($A52,Questions!$A$2:$X$333,2,0)</f>
        <v>Are data backups encrypted?</v>
      </c>
      <c r="C52" s="45" t="s">
        <v>75</v>
      </c>
      <c r="D52" s="46"/>
      <c r="E52" s="47" t="str">
        <f>IF($C$18='Auto Responses'!$J$4,'Auto Responses'!$A$3,IF($C52='Auto Responses'!$J$3,VLOOKUP($A52,Questions!$A$2:$X$333,17,0)&amp;"",IF($C52='Auto Responses'!$J$4,VLOOKUP($A52,Questions!$A$2:$X$333,16,0)&amp;"",VLOOKUP($A52,Questions!$A$2:$X$333,15,0)&amp;"")))</f>
        <v xml:space="preserve">Based on the response to REQU-01 on the "START HERE" tab, this question does not apply to this product or service. </v>
      </c>
      <c r="F52" s="48" t="str">
        <f>VLOOKUP($A52,'Institution Evaluation'!$A$56:$F$345,6,0)&amp;""</f>
        <v/>
      </c>
      <c r="I52" s="7"/>
      <c r="J52" s="7"/>
    </row>
    <row r="53" spans="1:10" s="3" customFormat="1" ht="66" customHeight="1" x14ac:dyDescent="0.15">
      <c r="A53" s="36" t="s">
        <v>156</v>
      </c>
      <c r="B53" s="44" t="str">
        <f>VLOOKUP($A53,Questions!$A$2:$X$333,2,0)</f>
        <v>Do you have a media handling process that is documented and currently implemented that meets established business needs and regulatory requirements, including end-of-life, repurposing, and data-sanitization procedures?</v>
      </c>
      <c r="C53" s="45" t="s">
        <v>75</v>
      </c>
      <c r="D53" s="46"/>
      <c r="E53" s="47" t="str">
        <f>IF($C$18='Auto Responses'!$J$4,'Auto Responses'!$A$3,IF($C53='Auto Responses'!$J$3,VLOOKUP($A53,Questions!$A$2:$X$333,17,0)&amp;"",IF($C53='Auto Responses'!$J$4,VLOOKUP($A53,Questions!$A$2:$X$333,16,0)&amp;"",VLOOKUP($A53,Questions!$A$2:$X$333,15,0)&amp;"")))</f>
        <v xml:space="preserve">Based on the response to REQU-01 on the "START HERE" tab, this question does not apply to this product or service. </v>
      </c>
      <c r="F53" s="48" t="str">
        <f>VLOOKUP($A53,'Institution Evaluation'!$A$56:$F$345,6,0)&amp;""</f>
        <v/>
      </c>
      <c r="I53" s="7"/>
      <c r="J53" s="7"/>
    </row>
    <row r="54" spans="1:10" s="3" customFormat="1" ht="44.25" customHeight="1" x14ac:dyDescent="0.15">
      <c r="A54" s="36" t="s">
        <v>157</v>
      </c>
      <c r="B54" s="44" t="str">
        <f>VLOOKUP($A54,Questions!$A$2:$X$333,2,0)</f>
        <v>Does the process described in DATA-15 adhere to DoD 5220.22-M and/or NIST SP 800-88 standards?</v>
      </c>
      <c r="C54" s="45" t="s">
        <v>75</v>
      </c>
      <c r="D54" s="46"/>
      <c r="E54" s="47" t="str">
        <f>IF($C$18='Auto Responses'!$J$4,'Auto Responses'!$A$3,IF($C54='Auto Responses'!$J$3,VLOOKUP($A54,Questions!$A$2:$X$333,17,0)&amp;"",IF($C54='Auto Responses'!$J$4,VLOOKUP($A54,Questions!$A$2:$X$333,16,0)&amp;"",VLOOKUP($A54,Questions!$A$2:$X$333,15,0)&amp;"")))</f>
        <v xml:space="preserve">Based on the response to REQU-01 on the "START HERE" tab, this question does not apply to this product or service. </v>
      </c>
      <c r="F54" s="48" t="str">
        <f>VLOOKUP($A54,'Institution Evaluation'!$A$56:$F$345,6,0)&amp;""</f>
        <v/>
      </c>
      <c r="I54" s="7"/>
      <c r="J54" s="7"/>
    </row>
    <row r="55" spans="1:10" s="3" customFormat="1" ht="46.5" customHeight="1" x14ac:dyDescent="0.15">
      <c r="A55" s="36" t="s">
        <v>158</v>
      </c>
      <c r="B55" s="44" t="str">
        <f>VLOOKUP($A55,Questions!$A$2:$X$333,2,0)</f>
        <v>Does your staff (or third party) have access to institutional data (e.g., financial, PHI, or other sensitive information) through any means?</v>
      </c>
      <c r="C55" s="45" t="s">
        <v>75</v>
      </c>
      <c r="D55" s="46"/>
      <c r="E55" s="47" t="str">
        <f>IF($C$18='Auto Responses'!$J$4,'Auto Responses'!$A$3,IF($C55='Auto Responses'!$J$3,VLOOKUP($A55,Questions!$A$2:$X$333,17,0)&amp;"",IF($C55='Auto Responses'!$J$4,VLOOKUP($A55,Questions!$A$2:$X$333,16,0)&amp;"",VLOOKUP($A55,Questions!$A$2:$X$333,15,0)&amp;"")))</f>
        <v xml:space="preserve">Based on the response to REQU-01 on the "START HERE" tab, this question does not apply to this product or service. </v>
      </c>
      <c r="F55" s="48" t="str">
        <f>VLOOKUP($A55,'Institution Evaluation'!$A$56:$F$345,6,0)&amp;""</f>
        <v/>
      </c>
      <c r="I55" s="7"/>
      <c r="J55" s="7"/>
    </row>
    <row r="56" spans="1:10" s="3" customFormat="1" ht="67.5" customHeight="1" x14ac:dyDescent="0.15">
      <c r="A56" s="36" t="s">
        <v>159</v>
      </c>
      <c r="B56" s="44" t="str">
        <f>VLOOKUP($A56,Questions!$A$2:$X$333,2,0)</f>
        <v>Do you have a documented and currently implemented strategy for securing employee workstations when they work remotely (i.e., not in a trusted computing environment)?</v>
      </c>
      <c r="C56" s="45" t="s">
        <v>75</v>
      </c>
      <c r="D56" s="46"/>
      <c r="E56" s="47" t="str">
        <f>IF($C$18='Auto Responses'!$J$4,'Auto Responses'!$A$3,IF($C56='Auto Responses'!$J$3,VLOOKUP($A56,Questions!$A$2:$X$333,17,0)&amp;"",IF($C56='Auto Responses'!$J$4,VLOOKUP($A56,Questions!$A$2:$X$333,16,0)&amp;"",VLOOKUP($A56,Questions!$A$2:$X$333,15,0)&amp;"")))</f>
        <v xml:space="preserve">Based on the response to REQU-01 on the "START HERE" tab, this question does not apply to this product or service. </v>
      </c>
      <c r="F56" s="48" t="str">
        <f>VLOOKUP($A56,'Institution Evaluation'!$A$56:$F$345,6,0)&amp;""</f>
        <v/>
      </c>
      <c r="I56" s="7"/>
      <c r="J56" s="7"/>
    </row>
    <row r="57" spans="1:10" s="3" customFormat="1" ht="68.25" customHeight="1" x14ac:dyDescent="0.15">
      <c r="A57" s="36" t="s">
        <v>160</v>
      </c>
      <c r="B57" s="44" t="str">
        <f>VLOOKUP($A57,Questions!$A$2:$X$333,2,0)</f>
        <v>Does the environment provide for dedicated single-tenant capabilities? If not, describe how your solution or environment separates data from different customers (e.g., logically, physically, single tenancy, multi-tenancy).</v>
      </c>
      <c r="C57" s="45" t="s">
        <v>75</v>
      </c>
      <c r="D57" s="46"/>
      <c r="E57" s="47" t="str">
        <f>IF($C$18='Auto Responses'!$J$4,'Auto Responses'!$A$3,IF($C57='Auto Responses'!$J$3,VLOOKUP($A57,Questions!$A$2:$X$333,17,0)&amp;"",IF($C57='Auto Responses'!$J$4,VLOOKUP($A57,Questions!$A$2:$X$333,16,0)&amp;"",VLOOKUP($A57,Questions!$A$2:$X$333,15,0)&amp;"")))</f>
        <v xml:space="preserve">Based on the response to REQU-01 on the "START HERE" tab, this question does not apply to this product or service. </v>
      </c>
      <c r="F57" s="48" t="str">
        <f>VLOOKUP($A57,'Institution Evaluation'!$A$56:$F$345,6,0)&amp;""</f>
        <v/>
      </c>
      <c r="I57" s="7"/>
      <c r="J57" s="7"/>
    </row>
    <row r="58" spans="1:10" s="3" customFormat="1" ht="55.5" customHeight="1" x14ac:dyDescent="0.15">
      <c r="A58" s="36" t="s">
        <v>161</v>
      </c>
      <c r="B58" s="44" t="str">
        <f>VLOOKUP($A58,Questions!$A$2:$X$333,2,0)</f>
        <v>Are ownership rights to all data, inputs, outputs, and metadata retained by the institution?</v>
      </c>
      <c r="C58" s="45" t="s">
        <v>75</v>
      </c>
      <c r="D58" s="46"/>
      <c r="E58" s="47" t="str">
        <f>IF($C$18='Auto Responses'!$J$4,'Auto Responses'!$A$3,IF($C58='Auto Responses'!$J$3,VLOOKUP($A58,Questions!$A$2:$X$333,17,0)&amp;"",IF($C58='Auto Responses'!$J$4,VLOOKUP($A58,Questions!$A$2:$X$333,16,0)&amp;"",VLOOKUP($A58,Questions!$A$2:$X$333,15,0)&amp;"")))</f>
        <v xml:space="preserve">Based on the response to REQU-01 on the "START HERE" tab, this question does not apply to this product or service. </v>
      </c>
      <c r="F58" s="48" t="str">
        <f>VLOOKUP($A58,'Institution Evaluation'!$A$56:$F$345,6,0)&amp;""</f>
        <v/>
      </c>
      <c r="I58" s="7"/>
      <c r="J58" s="7"/>
    </row>
    <row r="59" spans="1:10" s="3" customFormat="1" ht="45.75" customHeight="1" x14ac:dyDescent="0.15">
      <c r="A59" s="36" t="s">
        <v>162</v>
      </c>
      <c r="B59" s="44" t="str">
        <f>VLOOKUP($A59,Questions!$A$2:$X$333,2,0)</f>
        <v>In the event of imminent bankruptcy, closing of business, or retirement of service, will you provide 90 days for customers to get their data out of the system and migrate applications?</v>
      </c>
      <c r="C59" s="45" t="s">
        <v>75</v>
      </c>
      <c r="D59" s="46"/>
      <c r="E59" s="47" t="str">
        <f>IF($C$18='Auto Responses'!$J$4,'Auto Responses'!$A$3,IF($C59='Auto Responses'!$J$3,VLOOKUP($A59,Questions!$A$2:$X$333,17,0)&amp;"",IF($C59='Auto Responses'!$J$4,VLOOKUP($A59,Questions!$A$2:$X$333,16,0)&amp;"",VLOOKUP($A59,Questions!$A$2:$X$333,15,0)&amp;"")))</f>
        <v xml:space="preserve">Based on the response to REQU-01 on the "START HERE" tab, this question does not apply to this product or service. </v>
      </c>
      <c r="F59" s="48" t="str">
        <f>VLOOKUP($A59,'Institution Evaluation'!$A$56:$F$345,6,0)&amp;""</f>
        <v/>
      </c>
      <c r="I59" s="7"/>
      <c r="J59" s="7"/>
    </row>
    <row r="60" spans="1:10" s="3" customFormat="1" ht="54" customHeight="1" x14ac:dyDescent="0.15">
      <c r="A60" s="36" t="s">
        <v>163</v>
      </c>
      <c r="B60" s="44" t="str">
        <f>VLOOKUP($A60,Questions!$A$2:$X$333,2,0)</f>
        <v>Are involatile backup copies made according to predefined schedules and securely stored and protected?</v>
      </c>
      <c r="C60" s="45" t="s">
        <v>75</v>
      </c>
      <c r="D60" s="46"/>
      <c r="E60" s="47" t="str">
        <f>IF($C$18='Auto Responses'!$J$4,'Auto Responses'!$A$3,IF($C60='Auto Responses'!$J$3,VLOOKUP($A60,Questions!$A$2:$X$333,17,0)&amp;"",IF($C60='Auto Responses'!$J$4,VLOOKUP($A60,Questions!$A$2:$X$333,16,0)&amp;"",VLOOKUP($A60,Questions!$A$2:$X$333,15,0)&amp;"")))</f>
        <v xml:space="preserve">Based on the response to REQU-01 on the "START HERE" tab, this question does not apply to this product or service. </v>
      </c>
      <c r="F60" s="48" t="str">
        <f>VLOOKUP($A60,'Institution Evaluation'!$A$56:$F$345,6,0)&amp;""</f>
        <v/>
      </c>
      <c r="I60" s="7"/>
      <c r="J60" s="7"/>
    </row>
    <row r="61" spans="1:10" s="3" customFormat="1" ht="76.5" customHeight="1" x14ac:dyDescent="0.15">
      <c r="A61" s="36" t="s">
        <v>164</v>
      </c>
      <c r="B61" s="44" t="str">
        <f>VLOOKUP($A61,Questions!$A$2:$X$333,2,0)</f>
        <v>Do you have a cryptographic key management process (generation, exchange, storage, safeguards, use, vetting, and replacement) that is documented and currently implemented, for all system components (e.g., database, system, web, etc.)?</v>
      </c>
      <c r="C61" s="45" t="s">
        <v>75</v>
      </c>
      <c r="D61" s="46"/>
      <c r="E61" s="47" t="str">
        <f>IF($C$18='Auto Responses'!$J$4,'Auto Responses'!$A$3,IF($C61='Auto Responses'!$J$3,VLOOKUP($A61,Questions!$A$2:$X$333,17,0)&amp;"",IF($C61='Auto Responses'!$J$4,VLOOKUP($A61,Questions!$A$2:$X$333,16,0)&amp;"",VLOOKUP($A61,Questions!$A$2:$X$333,15,0)&amp;"")))</f>
        <v xml:space="preserve">Based on the response to REQU-01 on the "START HERE" tab, this question does not apply to this product or service. </v>
      </c>
      <c r="F61" s="48" t="str">
        <f>VLOOKUP($A61,'Institution Evaluation'!$A$56:$F$345,6,0)&amp;""</f>
        <v/>
      </c>
      <c r="G61" s="62" t="s">
        <v>35</v>
      </c>
      <c r="I61" s="7"/>
      <c r="J61" s="7"/>
    </row>
    <row r="62" spans="1:10" s="3" customFormat="1" ht="36.75" customHeight="1" x14ac:dyDescent="0.15">
      <c r="A62" s="63" t="s">
        <v>53</v>
      </c>
      <c r="B62" s="57"/>
      <c r="C62" s="58"/>
      <c r="D62" s="59"/>
      <c r="E62" s="60"/>
      <c r="F62" s="61"/>
      <c r="G62" s="62"/>
      <c r="I62" s="7"/>
      <c r="J62" s="7"/>
    </row>
    <row r="63" spans="1:10" s="3" customFormat="1" ht="15" customHeight="1" x14ac:dyDescent="0.15">
      <c r="A63" s="73"/>
      <c r="C63" s="4"/>
      <c r="D63" s="5"/>
      <c r="E63" s="6"/>
      <c r="I63" s="7"/>
      <c r="J63" s="7"/>
    </row>
    <row r="64" spans="1:10" s="3" customFormat="1" ht="15" hidden="1" customHeight="1" x14ac:dyDescent="0.15">
      <c r="A64"/>
      <c r="C64" s="4"/>
      <c r="D64" s="5"/>
      <c r="E64" s="6"/>
      <c r="I64" s="7"/>
      <c r="J64" s="7"/>
    </row>
    <row r="65" spans="1:12" ht="15" hidden="1" customHeight="1" x14ac:dyDescent="0.2">
      <c r="A65" s="3"/>
      <c r="B65" s="4"/>
      <c r="C65" s="77"/>
      <c r="D65" s="6"/>
      <c r="E65" s="3"/>
      <c r="H65" s="7"/>
      <c r="I65" s="3"/>
      <c r="J65" s="3"/>
      <c r="L65"/>
    </row>
    <row r="66" spans="1:12" ht="57" hidden="1" customHeight="1" x14ac:dyDescent="0.2">
      <c r="A66" s="36" t="e">
        <f>#REF!</f>
        <v>#REF!</v>
      </c>
    </row>
    <row r="67" spans="1:12" ht="42.75" hidden="1" customHeight="1" x14ac:dyDescent="0.2">
      <c r="A67" s="36" t="e">
        <f>#REF!</f>
        <v>#REF!</v>
      </c>
    </row>
    <row r="68" spans="1:12" ht="15" hidden="1" customHeight="1" x14ac:dyDescent="0.2">
      <c r="A68" s="36" t="e">
        <f>#REF!</f>
        <v>#REF!</v>
      </c>
    </row>
    <row r="69" spans="1:12" ht="15" hidden="1" customHeight="1" x14ac:dyDescent="0.2">
      <c r="A69" s="36" t="e">
        <f>#REF!</f>
        <v>#REF!</v>
      </c>
    </row>
    <row r="70" spans="1:12" ht="15" hidden="1" customHeight="1" x14ac:dyDescent="0.2">
      <c r="A70" s="36" t="e">
        <f>#REF!</f>
        <v>#REF!</v>
      </c>
    </row>
    <row r="71" spans="1:12" ht="15" hidden="1" customHeight="1" x14ac:dyDescent="0.2">
      <c r="A71" s="36" t="e">
        <f>#REF!</f>
        <v>#REF!</v>
      </c>
    </row>
    <row r="72" spans="1:12" ht="15" hidden="1" customHeight="1" x14ac:dyDescent="0.2">
      <c r="A72" s="36" t="e">
        <f>#REF!</f>
        <v>#REF!</v>
      </c>
    </row>
    <row r="73" spans="1:12" ht="15" hidden="1" customHeight="1" x14ac:dyDescent="0.2"/>
    <row r="74" spans="1:12" ht="15" hidden="1" customHeight="1" x14ac:dyDescent="0.2"/>
    <row r="75" spans="1:12" ht="15" hidden="1" customHeight="1" x14ac:dyDescent="0.2"/>
    <row r="76" spans="1:12" ht="15" hidden="1" customHeight="1" x14ac:dyDescent="0.2"/>
    <row r="77" spans="1:12" ht="15" hidden="1" customHeight="1" x14ac:dyDescent="0.2"/>
    <row r="78" spans="1:12" ht="15" hidden="1" customHeight="1" x14ac:dyDescent="0.2"/>
    <row r="79" spans="1:12" ht="15" hidden="1" customHeight="1" x14ac:dyDescent="0.2"/>
    <row r="80" spans="1:12" ht="15" hidden="1" customHeight="1" x14ac:dyDescent="0.2"/>
    <row r="81" ht="15" hidden="1" customHeight="1" x14ac:dyDescent="0.2"/>
    <row r="82" ht="15" hidden="1" customHeight="1" x14ac:dyDescent="0.2"/>
    <row r="83" ht="15" hidden="1" customHeight="1" x14ac:dyDescent="0.2"/>
    <row r="84" ht="15" hidden="1" customHeight="1" x14ac:dyDescent="0.2"/>
    <row r="85" ht="15" hidden="1" customHeight="1" x14ac:dyDescent="0.2"/>
  </sheetData>
  <dataValidations count="2">
    <dataValidation allowBlank="1" showInputMessage="1" showErrorMessage="1" promptTitle="Warning!" prompt="The HECVAT is built using a number of complex formulas. Editing this cell can break the functionality of the tool. " sqref="A1:B1 B2:F2 A3:B62 D3:F3 C4:F12 D13:F16 C17:F17 E18:F18 C19:F19 E20:F37 C38:F38 E39:F61" xr:uid="{00000000-0002-0000-0200-000000000000}">
      <formula1>0</formula1>
      <formula2>0</formula2>
    </dataValidation>
    <dataValidation allowBlank="1" showInputMessage="1" showErrorMessage="1" prompt="This answer has been populated from the &quot;START HERE&quot; tab and does not need to be re-entered." sqref="C3 C13:C16 C18" xr:uid="{00000000-0002-0000-0200-000001000000}">
      <formula1>0</formula1>
      <formula2>0</formula2>
    </dataValidation>
  </dataValidations>
  <hyperlinks>
    <hyperlink ref="A11" r:id="rId1" display="http://www.educause.edu/HECVAT"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636C"/>
  </sheetPr>
  <dimension ref="A1:L84"/>
  <sheetViews>
    <sheetView showGridLines="0" topLeftCell="A66" workbookViewId="0"/>
  </sheetViews>
  <sheetFormatPr baseColWidth="10" defaultColWidth="0" defaultRowHeight="16" x14ac:dyDescent="0.15"/>
  <cols>
    <col min="1" max="1" width="8.25" style="61" customWidth="1"/>
    <col min="2" max="2" width="55.125" style="3" customWidth="1"/>
    <col min="3" max="3" width="20.25" style="4" customWidth="1"/>
    <col min="4" max="4" width="55.625" style="5" customWidth="1"/>
    <col min="5" max="5" width="32" style="6" customWidth="1"/>
    <col min="6" max="6" width="30.625" style="3" customWidth="1"/>
    <col min="7" max="7" width="18" style="3" customWidth="1"/>
    <col min="8" max="8" width="18" style="3" hidden="1" customWidth="1"/>
    <col min="9" max="10" width="18" style="7" hidden="1" customWidth="1"/>
    <col min="11" max="11" width="4.5" style="3" hidden="1" customWidth="1"/>
    <col min="12" max="12" width="6.625" style="3" hidden="1"/>
    <col min="13" max="16384" width="6.625" style="61" hidden="1"/>
  </cols>
  <sheetData>
    <row r="1" spans="1:10" ht="221" hidden="1" x14ac:dyDescent="0.15">
      <c r="A1" s="61" t="s">
        <v>0</v>
      </c>
    </row>
    <row r="2" spans="1:10" ht="36" customHeight="1" x14ac:dyDescent="0.15">
      <c r="A2" s="8" t="s">
        <v>165</v>
      </c>
      <c r="B2" s="8"/>
      <c r="C2" s="9"/>
      <c r="D2" s="10"/>
      <c r="E2" s="11"/>
      <c r="F2" s="11" t="str">
        <f>'Auto Responses'!$A$36</f>
        <v>Version 4.1.6</v>
      </c>
      <c r="J2" s="3"/>
    </row>
    <row r="3" spans="1:10" s="3" customFormat="1" ht="28.5" customHeight="1" x14ac:dyDescent="0.15">
      <c r="A3" s="12" t="s">
        <v>2</v>
      </c>
      <c r="B3" s="13">
        <v>46282</v>
      </c>
      <c r="C3" s="64">
        <f>'START HERE'!$C$3</f>
        <v>0</v>
      </c>
      <c r="D3" s="15"/>
      <c r="E3" s="16"/>
      <c r="F3" s="17"/>
      <c r="I3" s="7"/>
    </row>
    <row r="4" spans="1:10" s="3" customFormat="1" ht="36" customHeight="1" x14ac:dyDescent="0.15">
      <c r="A4" s="18" t="s">
        <v>3</v>
      </c>
      <c r="B4" s="19"/>
      <c r="C4" s="20"/>
      <c r="D4" s="21"/>
      <c r="E4" s="22"/>
      <c r="F4" s="22"/>
      <c r="I4" s="7"/>
    </row>
    <row r="5" spans="1:10"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10"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10"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10" s="3" customFormat="1" ht="19.5" customHeight="1" x14ac:dyDescent="0.15">
      <c r="A8" s="23" t="str">
        <f>HLOOKUP($A$4,'Auto Responses'!$D$2:$D$8,5,0)&amp;""</f>
        <v>4. DO NOT complete any fields in the "Evaluation" sheets or the "Analyst Notes" column.</v>
      </c>
      <c r="B8" s="24"/>
      <c r="C8" s="25"/>
      <c r="D8" s="26"/>
      <c r="E8" s="24"/>
      <c r="F8" s="28"/>
      <c r="I8" s="7"/>
    </row>
    <row r="9" spans="1:10" s="3" customFormat="1" ht="19.5" customHeight="1" x14ac:dyDescent="0.15">
      <c r="A9" s="23" t="str">
        <f>HLOOKUP($A$4,'Auto Responses'!$D$2:$D$8,6,0)&amp;""</f>
        <v>5. Return the completed file to institutions.</v>
      </c>
      <c r="B9" s="24"/>
      <c r="C9" s="25"/>
      <c r="D9" s="26"/>
      <c r="E9" s="24"/>
      <c r="F9" s="28"/>
      <c r="I9" s="7"/>
    </row>
    <row r="10" spans="1:10"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10" s="3" customFormat="1" ht="19.5" customHeight="1" x14ac:dyDescent="0.15">
      <c r="A11" s="30" t="str">
        <f>HLOOKUP($A$4,'Auto Responses'!$D$2:$D$9,8,0)&amp;""</f>
        <v>For full instructions, please visit educause.edu/HECVAT</v>
      </c>
      <c r="B11" s="24"/>
      <c r="C11" s="25"/>
      <c r="D11" s="26"/>
      <c r="E11" s="24"/>
      <c r="F11" s="31"/>
      <c r="I11" s="7"/>
    </row>
    <row r="12" spans="1:10" s="3" customFormat="1" ht="36" customHeight="1" x14ac:dyDescent="0.15">
      <c r="A12" s="32" t="str">
        <f>VLOOKUP(LEFT($A13,4),'Auto Responses'!$N$4:$O$38,2,0)&amp;""</f>
        <v xml:space="preserve"> General Information</v>
      </c>
      <c r="B12" s="19"/>
      <c r="C12" s="20" t="s">
        <v>21</v>
      </c>
      <c r="D12" s="34"/>
      <c r="E12" s="35"/>
      <c r="F12" s="35"/>
      <c r="I12" s="7"/>
      <c r="J12" s="7"/>
    </row>
    <row r="13" spans="1:10" s="3" customFormat="1" ht="21.75" customHeight="1" x14ac:dyDescent="0.15">
      <c r="A13" s="36" t="s">
        <v>4</v>
      </c>
      <c r="B13" s="37" t="str">
        <f>VLOOKUP($A13,Questions!$A$2:$X$333,2,0)&amp;""</f>
        <v>Solution Provider Name</v>
      </c>
      <c r="C13" s="38" t="str">
        <f>VLOOKUP($A13,'START HERE'!$A$13:$C$21,3,0)&amp;""</f>
        <v>SmartPLS GmbH</v>
      </c>
      <c r="D13" s="39"/>
      <c r="E13" s="39"/>
      <c r="F13" s="17"/>
      <c r="I13" s="7"/>
      <c r="J13" s="7"/>
    </row>
    <row r="14" spans="1:10" s="3" customFormat="1" ht="21.75" customHeight="1" x14ac:dyDescent="0.15">
      <c r="A14" s="36" t="s">
        <v>6</v>
      </c>
      <c r="B14" s="37" t="str">
        <f>VLOOKUP($A14,Questions!$A$2:$X$333,2,0)&amp;""</f>
        <v>Solution Name</v>
      </c>
      <c r="C14" s="38" t="str">
        <f>VLOOKUP($A14,'START HERE'!$A$13:$C$21,3,0)&amp;""</f>
        <v>SmartPLS 4.1.1.9 (SmartPLS Desktop)</v>
      </c>
      <c r="D14" s="39"/>
      <c r="E14" s="39"/>
      <c r="F14" s="17"/>
      <c r="I14" s="7"/>
      <c r="J14" s="7"/>
    </row>
    <row r="15" spans="1:10" s="3" customFormat="1" ht="21.75" customHeight="1" x14ac:dyDescent="0.15">
      <c r="A15" s="36" t="s">
        <v>7</v>
      </c>
      <c r="B15" s="37"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39"/>
      <c r="E15" s="39"/>
      <c r="F15" s="17"/>
      <c r="I15" s="7"/>
      <c r="J15" s="7"/>
    </row>
    <row r="16" spans="1:10" s="3" customFormat="1" ht="21.75" customHeight="1" x14ac:dyDescent="0.15">
      <c r="A16" s="36" t="s">
        <v>17</v>
      </c>
      <c r="B16" s="37" t="str">
        <f>VLOOKUP($A16,Questions!$A$2:$X$333,2,0)&amp;""</f>
        <v>Country of Company Headquarters</v>
      </c>
      <c r="C16" s="38" t="str">
        <f>VLOOKUP($A16,'START HERE'!$A$13:$C$21,3,0)&amp;""</f>
        <v>Germany</v>
      </c>
      <c r="D16" s="39"/>
      <c r="E16" s="39"/>
      <c r="F16" s="17"/>
      <c r="I16" s="7"/>
      <c r="J16" s="7"/>
    </row>
    <row r="17" spans="1:10" s="3" customFormat="1" ht="36.75" customHeight="1" x14ac:dyDescent="0.15">
      <c r="A17" s="32" t="str">
        <f>VLOOKUP(LEFT($A18,4),'Auto Responses'!$N$4:$O$38,2,0)&amp;""</f>
        <v xml:space="preserve"> Required Questions</v>
      </c>
      <c r="B17" s="41"/>
      <c r="C17" s="20" t="s">
        <v>21</v>
      </c>
      <c r="D17" s="20"/>
      <c r="E17" s="42" t="s">
        <v>23</v>
      </c>
      <c r="F17" s="53" t="s">
        <v>24</v>
      </c>
      <c r="I17" s="7"/>
      <c r="J17" s="7"/>
    </row>
    <row r="18" spans="1:10" s="3" customFormat="1" ht="40.5" customHeight="1" x14ac:dyDescent="0.15">
      <c r="A18" s="36" t="s">
        <v>36</v>
      </c>
      <c r="B18" s="44" t="str">
        <f>VLOOKUP($A18,Questions!$A$2:$X$333,2,0)</f>
        <v>Are you offering a cloud-based product?</v>
      </c>
      <c r="C18" s="78" t="str">
        <f>VLOOKUP($A18,'START HERE'!$A$23:$F$36,3,0)&amp;""</f>
        <v>No</v>
      </c>
      <c r="D18" s="79" t="str">
        <f>VLOOKUP($A18,'START HERE'!$A$23:$F$36,4,0)&amp;""</f>
        <v>SmartPLS is a locally installed Java application; it is not a cloud-hosted product.</v>
      </c>
      <c r="E18" s="47" t="str">
        <f>IF($C18='Auto Responses'!$J$3,VLOOKUP($A18,Questions!$A$2:$X$333,17,0)&amp;"",IF($C18='Auto Responses'!$J$4,VLOOKUP($A18,Questions!$A$2:$X$333,16,0)&amp;"",VLOOKUP($A18,Questions!$A$2:$X$333,15,0)&amp;""))</f>
        <v>DO NOT complete the Product and Infrastructure worksheets</v>
      </c>
      <c r="F18" s="48" t="str">
        <f>VLOOKUP($A18,'Institution Evaluation'!$A$56:$F$345,6,0)&amp;""</f>
        <v/>
      </c>
      <c r="G18" s="62" t="s">
        <v>35</v>
      </c>
      <c r="I18" s="7"/>
      <c r="J18" s="7"/>
    </row>
    <row r="19" spans="1:10" s="3" customFormat="1" ht="36.75" customHeight="1" x14ac:dyDescent="0.15">
      <c r="A19" s="32" t="str">
        <f>VLOOKUP(LEFT($A20,4),'Auto Responses'!$N$4:$O$38,2,0)&amp;""</f>
        <v xml:space="preserve"> Application/Service Security</v>
      </c>
      <c r="B19" s="41"/>
      <c r="C19" s="20" t="s">
        <v>21</v>
      </c>
      <c r="D19" s="20" t="s">
        <v>22</v>
      </c>
      <c r="E19" s="42" t="s">
        <v>23</v>
      </c>
      <c r="F19" s="53" t="s">
        <v>24</v>
      </c>
      <c r="I19" s="7"/>
      <c r="J19" s="7"/>
    </row>
    <row r="20" spans="1:10" s="3" customFormat="1" ht="97.5" customHeight="1" x14ac:dyDescent="0.15">
      <c r="A20" s="36" t="s">
        <v>166</v>
      </c>
      <c r="B20" s="44" t="str">
        <f>VLOOKUP($A20,Questions!$A$2:$X$333,2,0)</f>
        <v>Are access controls for institutional accounts based on structured rules, such as role-based access control (RBAC), attribute-based access control (ABAC), or policy-based access control (PBAC)?*</v>
      </c>
      <c r="C20" s="45" t="s">
        <v>75</v>
      </c>
      <c r="D20" s="80"/>
      <c r="E20" s="47" t="str">
        <f>IF($C$18='Auto Responses'!$J$4,'Auto Responses'!$A$3,IF($C20='Auto Responses'!$J$3,VLOOKUP($A20,Questions!$A$2:$X$333,17,0)&amp;"",IF($C20='Auto Responses'!$J$4,VLOOKUP($A20,Questions!$A$2:$X$333,16,0)&amp;"",VLOOKUP($A20,Questions!$A$2:$X$333,15,0)&amp;"")))</f>
        <v xml:space="preserve">Based on the response to REQU-01 on the "START HERE" tab, this question does not apply to this product or service. </v>
      </c>
      <c r="F20" s="48" t="str">
        <f>VLOOKUP($A20,'Institution Evaluation'!$A$56:$F$345,6,0)&amp;""</f>
        <v/>
      </c>
      <c r="I20" s="7"/>
      <c r="J20" s="7"/>
    </row>
    <row r="21" spans="1:10" s="3" customFormat="1" ht="120.75" customHeight="1" x14ac:dyDescent="0.15">
      <c r="A21" s="36" t="s">
        <v>167</v>
      </c>
      <c r="B21" s="44" t="str">
        <f>VLOOKUP($A21,Questions!$A$2:$X$333,2,0)</f>
        <v>Are you using a web application firewall (WAF)?*</v>
      </c>
      <c r="C21" s="45" t="s">
        <v>75</v>
      </c>
      <c r="D21" s="80"/>
      <c r="E21" s="47" t="str">
        <f>IF($C$18='Auto Responses'!$J$4,'Auto Responses'!$A$3,IF($C21='Auto Responses'!$J$3,VLOOKUP($A21,Questions!$A$2:$X$333,17,0)&amp;"",IF($C21='Auto Responses'!$J$4,VLOOKUP($A21,Questions!$A$2:$X$333,16,0)&amp;"",VLOOKUP($A21,Questions!$A$2:$X$333,15,0)&amp;"")))</f>
        <v xml:space="preserve">Based on the response to REQU-01 on the "START HERE" tab, this question does not apply to this product or service. </v>
      </c>
      <c r="F21" s="48" t="str">
        <f>VLOOKUP($A21,'Institution Evaluation'!$A$56:$F$345,6,0)&amp;""</f>
        <v/>
      </c>
      <c r="I21" s="7"/>
      <c r="J21" s="7"/>
    </row>
    <row r="22" spans="1:10" s="3" customFormat="1" ht="66.75" customHeight="1" x14ac:dyDescent="0.15">
      <c r="A22" s="36" t="s">
        <v>168</v>
      </c>
      <c r="B22" s="44" t="str">
        <f>VLOOKUP($A22,Questions!$A$2:$X$333,2,0)</f>
        <v>Are only currently supported operating system(s), software, and libraries leveraged by the system(s)/application(s) that will have access to institution's data?*</v>
      </c>
      <c r="C22" s="45" t="s">
        <v>75</v>
      </c>
      <c r="D22" s="80"/>
      <c r="E22" s="47" t="str">
        <f>IF($C$18='Auto Responses'!$J$4,'Auto Responses'!$A$3,IF($C22='Auto Responses'!$J$3,VLOOKUP($A22,Questions!$A$2:$X$333,17,0)&amp;"",IF($C22='Auto Responses'!$J$4,VLOOKUP($A22,Questions!$A$2:$X$333,16,0)&amp;"",VLOOKUP($A22,Questions!$A$2:$X$333,15,0)&amp;"")))</f>
        <v xml:space="preserve">Based on the response to REQU-01 on the "START HERE" tab, this question does not apply to this product or service. </v>
      </c>
      <c r="F22" s="48" t="str">
        <f>VLOOKUP($A22,'Institution Evaluation'!$A$56:$F$345,6,0)&amp;""</f>
        <v/>
      </c>
      <c r="I22" s="7"/>
      <c r="J22" s="7"/>
    </row>
    <row r="23" spans="1:10" s="3" customFormat="1" ht="38.25" customHeight="1" x14ac:dyDescent="0.15">
      <c r="A23" s="36" t="s">
        <v>169</v>
      </c>
      <c r="B23" s="44" t="str">
        <f>VLOOKUP($A23,Questions!$A$2:$X$333,2,0)</f>
        <v>Does your application require access to location or GPS data?*</v>
      </c>
      <c r="C23" s="45" t="s">
        <v>75</v>
      </c>
      <c r="D23" s="80"/>
      <c r="E23" s="47" t="str">
        <f>IF($C$18='Auto Responses'!$J$4,'Auto Responses'!$A$3,IF($C23='Auto Responses'!$J$3,VLOOKUP($A23,Questions!$A$2:$X$333,17,0)&amp;"",IF($C23='Auto Responses'!$J$4,VLOOKUP($A23,Questions!$A$2:$X$333,16,0)&amp;"",VLOOKUP($A23,Questions!$A$2:$X$333,15,0)&amp;"")))</f>
        <v xml:space="preserve">Based on the response to REQU-01 on the "START HERE" tab, this question does not apply to this product or service. </v>
      </c>
      <c r="F23" s="48" t="str">
        <f>VLOOKUP($A23,'Institution Evaluation'!$A$56:$F$345,6,0)&amp;""</f>
        <v/>
      </c>
      <c r="I23" s="7"/>
      <c r="J23" s="7"/>
    </row>
    <row r="24" spans="1:10" s="3" customFormat="1" ht="50.25" customHeight="1" x14ac:dyDescent="0.15">
      <c r="A24" s="36" t="s">
        <v>170</v>
      </c>
      <c r="B24" s="44" t="str">
        <f>VLOOKUP($A24,Questions!$A$2:$X$333,2,0)</f>
        <v>Does your application provide separation of duties between security administration, system administration, and standard user functions?*</v>
      </c>
      <c r="C24" s="45" t="s">
        <v>75</v>
      </c>
      <c r="D24" s="80"/>
      <c r="E24" s="47" t="str">
        <f>IF($C$18='Auto Responses'!$J$4,'Auto Responses'!$A$3,IF($C24='Auto Responses'!$J$3,VLOOKUP($A24,Questions!$A$2:$X$333,17,0)&amp;"",IF($C24='Auto Responses'!$J$4,VLOOKUP($A24,Questions!$A$2:$X$333,16,0)&amp;"",VLOOKUP($A24,Questions!$A$2:$X$333,15,0)&amp;"")))</f>
        <v xml:space="preserve">Based on the response to REQU-01 on the "START HERE" tab, this question does not apply to this product or service. </v>
      </c>
      <c r="F24" s="48" t="str">
        <f>VLOOKUP($A24,'Institution Evaluation'!$A$56:$F$345,6,0)&amp;""</f>
        <v/>
      </c>
      <c r="I24" s="7"/>
      <c r="J24" s="7"/>
    </row>
    <row r="25" spans="1:10" s="3" customFormat="1" ht="57.75" customHeight="1" x14ac:dyDescent="0.15">
      <c r="A25" s="36" t="s">
        <v>171</v>
      </c>
      <c r="B25" s="44" t="str">
        <f>VLOOKUP($A25,Questions!$A$2:$X$333,2,0)</f>
        <v>Do you subject your code to static code analysis and/or static application security testing prior to release?*</v>
      </c>
      <c r="C25" s="45" t="s">
        <v>75</v>
      </c>
      <c r="D25" s="80"/>
      <c r="E25" s="47" t="str">
        <f>IF($C$18='Auto Responses'!$J$4,'Auto Responses'!$A$3,IF($C25='Auto Responses'!$J$3,VLOOKUP($A25,Questions!$A$2:$X$333,17,0)&amp;"",IF($C25='Auto Responses'!$J$4,VLOOKUP($A25,Questions!$A$2:$X$333,16,0)&amp;"",VLOOKUP($A25,Questions!$A$2:$X$333,15,0)&amp;"")))</f>
        <v xml:space="preserve">Based on the response to REQU-01 on the "START HERE" tab, this question does not apply to this product or service. </v>
      </c>
      <c r="F25" s="48" t="str">
        <f>VLOOKUP($A25,'Institution Evaluation'!$A$56:$F$345,6,0)&amp;""</f>
        <v/>
      </c>
      <c r="I25" s="7"/>
      <c r="J25" s="7"/>
    </row>
    <row r="26" spans="1:10" s="3" customFormat="1" ht="38.25" customHeight="1" x14ac:dyDescent="0.15">
      <c r="A26" s="36" t="s">
        <v>172</v>
      </c>
      <c r="B26" s="44" t="str">
        <f>VLOOKUP($A26,Questions!$A$2:$X$333,2,0)</f>
        <v>Do you have software testing processes (dynamic or static) that are established and followed?*</v>
      </c>
      <c r="C26" s="45" t="s">
        <v>75</v>
      </c>
      <c r="D26" s="80"/>
      <c r="E26" s="47" t="str">
        <f>IF($C$18='Auto Responses'!$J$4,'Auto Responses'!$A$3,IF($C26='Auto Responses'!$J$3,VLOOKUP($A26,Questions!$A$2:$X$333,17,0)&amp;"",IF($C26='Auto Responses'!$J$4,VLOOKUP($A26,Questions!$A$2:$X$333,16,0)&amp;"",VLOOKUP($A26,Questions!$A$2:$X$333,15,0)&amp;"")))</f>
        <v xml:space="preserve">Based on the response to REQU-01 on the "START HERE" tab, this question does not apply to this product or service. </v>
      </c>
      <c r="F26" s="48" t="str">
        <f>VLOOKUP($A26,'Institution Evaluation'!$A$56:$F$345,6,0)&amp;""</f>
        <v/>
      </c>
      <c r="I26" s="7"/>
      <c r="J26" s="7"/>
    </row>
    <row r="27" spans="1:10" s="3" customFormat="1" ht="111" customHeight="1" x14ac:dyDescent="0.15">
      <c r="A27" s="36" t="s">
        <v>173</v>
      </c>
      <c r="B27" s="44" t="str">
        <f>VLOOKUP($A27,Questions!$A$2:$X$333,2,0)</f>
        <v>Are access controls for staff within your organization based on structured rules, such as RBAC, ABAC, or PBAC?</v>
      </c>
      <c r="C27" s="45" t="s">
        <v>75</v>
      </c>
      <c r="D27" s="80"/>
      <c r="E27" s="47" t="str">
        <f>IF($C$18='Auto Responses'!$J$4,'Auto Responses'!$A$3,IF($C27='Auto Responses'!$J$3,VLOOKUP($A27,Questions!$A$2:$X$333,17,0)&amp;"",IF($C27='Auto Responses'!$J$4,VLOOKUP($A27,Questions!$A$2:$X$333,16,0)&amp;"",VLOOKUP($A27,Questions!$A$2:$X$333,15,0)&amp;"")))</f>
        <v xml:space="preserve">Based on the response to REQU-01 on the "START HERE" tab, this question does not apply to this product or service. </v>
      </c>
      <c r="F27" s="48" t="str">
        <f>VLOOKUP($A27,'Institution Evaluation'!$A$56:$F$345,6,0)&amp;""</f>
        <v/>
      </c>
      <c r="I27" s="7"/>
      <c r="J27" s="7"/>
    </row>
    <row r="28" spans="1:10" s="3" customFormat="1" ht="38.25" customHeight="1" x14ac:dyDescent="0.15">
      <c r="A28" s="36" t="s">
        <v>174</v>
      </c>
      <c r="B28" s="44" t="str">
        <f>VLOOKUP($A28,Questions!$A$2:$X$333,2,0)</f>
        <v>Does the system provide data input validation and error messages?</v>
      </c>
      <c r="C28" s="45" t="s">
        <v>75</v>
      </c>
      <c r="D28" s="80"/>
      <c r="E28" s="47" t="str">
        <f>IF($C$18='Auto Responses'!$J$4,'Auto Responses'!$A$3,IF($C28='Auto Responses'!$J$3,VLOOKUP($A28,Questions!$A$2:$X$333,17,0)&amp;"",IF($C28='Auto Responses'!$J$4,VLOOKUP($A28,Questions!$A$2:$X$333,16,0)&amp;"",VLOOKUP($A28,Questions!$A$2:$X$333,15,0)&amp;"")))</f>
        <v xml:space="preserve">Based on the response to REQU-01 on the "START HERE" tab, this question does not apply to this product or service. </v>
      </c>
      <c r="F28" s="48" t="str">
        <f>VLOOKUP($A28,'Institution Evaluation'!$A$56:$F$345,6,0)&amp;""</f>
        <v/>
      </c>
      <c r="I28" s="7"/>
      <c r="J28" s="7"/>
    </row>
    <row r="29" spans="1:10" s="3" customFormat="1" ht="51.75" customHeight="1" x14ac:dyDescent="0.15">
      <c r="A29" s="36" t="s">
        <v>175</v>
      </c>
      <c r="B29" s="44" t="str">
        <f>VLOOKUP($A29,Questions!$A$2:$X$333,2,0)</f>
        <v>Do you have a process and implemented procedures for managing your software supply chain (e.g., libraries, repositories, frameworks, etc.)?</v>
      </c>
      <c r="C29" s="45" t="s">
        <v>75</v>
      </c>
      <c r="D29" s="80"/>
      <c r="E29" s="47" t="str">
        <f>IF($C$18='Auto Responses'!$J$4,'Auto Responses'!$A$3,IF($C29='Auto Responses'!$J$3,VLOOKUP($A29,Questions!$A$2:$X$333,17,0)&amp;"",IF($C29='Auto Responses'!$J$4,VLOOKUP($A29,Questions!$A$2:$X$333,16,0)&amp;"",VLOOKUP($A29,Questions!$A$2:$X$333,15,0)&amp;"")))</f>
        <v xml:space="preserve">Based on the response to REQU-01 on the "START HERE" tab, this question does not apply to this product or service. </v>
      </c>
      <c r="F29" s="48" t="str">
        <f>VLOOKUP($A29,'Institution Evaluation'!$A$56:$F$345,6,0)&amp;""</f>
        <v/>
      </c>
      <c r="I29" s="7"/>
      <c r="J29" s="7"/>
    </row>
    <row r="30" spans="1:10" s="3" customFormat="1" ht="38.25" customHeight="1" x14ac:dyDescent="0.15">
      <c r="A30" s="36" t="s">
        <v>176</v>
      </c>
      <c r="B30" s="44" t="str">
        <f>VLOOKUP($A30,Questions!$A$2:$X$333,2,0)</f>
        <v>Have your developers been trained in secure coding techniques?</v>
      </c>
      <c r="C30" s="45" t="s">
        <v>75</v>
      </c>
      <c r="D30" s="80"/>
      <c r="E30" s="47" t="str">
        <f>IF($C$18='Auto Responses'!$J$4,'Auto Responses'!$A$3,IF($C30='Auto Responses'!$J$3,VLOOKUP($A30,Questions!$A$2:$X$333,17,0)&amp;"",IF($C30='Auto Responses'!$J$4,VLOOKUP($A30,Questions!$A$2:$X$333,16,0)&amp;"",VLOOKUP($A30,Questions!$A$2:$X$333,15,0)&amp;"")))</f>
        <v xml:space="preserve">Based on the response to REQU-01 on the "START HERE" tab, this question does not apply to this product or service. </v>
      </c>
      <c r="F30" s="48" t="str">
        <f>VLOOKUP($A30,'Institution Evaluation'!$A$56:$F$345,6,0)&amp;""</f>
        <v/>
      </c>
      <c r="I30" s="7"/>
      <c r="J30" s="7"/>
    </row>
    <row r="31" spans="1:10" s="3" customFormat="1" ht="45.75" customHeight="1" x14ac:dyDescent="0.15">
      <c r="A31" s="36" t="s">
        <v>177</v>
      </c>
      <c r="B31" s="44" t="str">
        <f>VLOOKUP($A31,Questions!$A$2:$X$333,2,0)</f>
        <v>Was your application developed using secure coding techniques?</v>
      </c>
      <c r="C31" s="45" t="s">
        <v>75</v>
      </c>
      <c r="D31" s="81"/>
      <c r="E31" s="47" t="str">
        <f>IF($C$18='Auto Responses'!$J$4,'Auto Responses'!$A$3,IF($C31='Auto Responses'!$J$3,VLOOKUP($A31,Questions!$A$2:$X$333,17,0)&amp;"",IF($C31='Auto Responses'!$J$4,VLOOKUP($A31,Questions!$A$2:$X$333,16,0)&amp;"",VLOOKUP($A31,Questions!$A$2:$X$333,15,0)&amp;"")))</f>
        <v xml:space="preserve">Based on the response to REQU-01 on the "START HERE" tab, this question does not apply to this product or service. </v>
      </c>
      <c r="F31" s="48" t="str">
        <f>VLOOKUP($A31,'Institution Evaluation'!$A$56:$F$345,6,0)&amp;""</f>
        <v/>
      </c>
      <c r="I31" s="7"/>
      <c r="J31" s="7"/>
    </row>
    <row r="32" spans="1:10" s="3" customFormat="1" ht="48" customHeight="1" x14ac:dyDescent="0.15">
      <c r="A32" s="36" t="s">
        <v>178</v>
      </c>
      <c r="B32" s="44" t="str">
        <f>VLOOKUP($A32,Questions!$A$2:$X$333,2,0)</f>
        <v>If mobile, is the application available from a trusted source (e.g., App Store, Google Play Store)?</v>
      </c>
      <c r="C32" s="45" t="s">
        <v>75</v>
      </c>
      <c r="D32" s="81"/>
      <c r="E32" s="47" t="str">
        <f>IF($C$18='Auto Responses'!$J$4,'Auto Responses'!$A$3,IF($C32='Auto Responses'!$J$3,VLOOKUP($A32,Questions!$A$2:$X$333,17,0)&amp;"",IF($C32='Auto Responses'!$J$4,VLOOKUP($A32,Questions!$A$2:$X$333,16,0)&amp;"",IF($C32='Auto Responses'!$J$5,VLOOKUP($A32,Questions!$A$2:$X$333,18,0)&amp;"",VLOOKUP($A32,Questions!$A$2:$X$333,15,0)&amp;""))))</f>
        <v xml:space="preserve">Based on the response to REQU-01 on the "START HERE" tab, this question does not apply to this product or service. </v>
      </c>
      <c r="F32" s="48" t="str">
        <f>VLOOKUP($A32,'Institution Evaluation'!$A$56:$F$345,6,0)&amp;""</f>
        <v/>
      </c>
      <c r="I32" s="7"/>
      <c r="J32" s="7"/>
    </row>
    <row r="33" spans="1:10" s="3" customFormat="1" ht="61.5" customHeight="1" x14ac:dyDescent="0.15">
      <c r="A33" s="36" t="s">
        <v>179</v>
      </c>
      <c r="B33" s="44" t="str">
        <f>VLOOKUP($A33,Questions!$A$2:$X$333,2,0)</f>
        <v>Do you have a fully implemented policy or procedure that details how your employees obtain administrator access to institutional instance of the application?</v>
      </c>
      <c r="C33" s="45" t="s">
        <v>75</v>
      </c>
      <c r="D33" s="81"/>
      <c r="E33" s="47" t="str">
        <f>IF($C$18='Auto Responses'!$J$4,'Auto Responses'!$A$3,IF($C33='Auto Responses'!$J$3,VLOOKUP($A33,Questions!$A$2:$X$333,17,0)&amp;"",IF($C33='Auto Responses'!$J$4,VLOOKUP($A33,Questions!$A$2:$X$333,16,0)&amp;"",VLOOKUP($A33,Questions!$A$2:$X$333,15,0)&amp;"")))</f>
        <v xml:space="preserve">Based on the response to REQU-01 on the "START HERE" tab, this question does not apply to this product or service. </v>
      </c>
      <c r="F33" s="48" t="str">
        <f>VLOOKUP($A33,'Institution Evaluation'!$A$56:$F$345,6,0)&amp;""</f>
        <v/>
      </c>
      <c r="G33" s="62" t="s">
        <v>35</v>
      </c>
      <c r="I33" s="7"/>
      <c r="J33" s="7"/>
    </row>
    <row r="34" spans="1:10" s="3" customFormat="1" ht="36.75" customHeight="1" x14ac:dyDescent="0.15">
      <c r="A34" s="32" t="str">
        <f>VLOOKUP(LEFT($A35,4),'Auto Responses'!$N$4:$O$38,2,0)&amp;""</f>
        <v xml:space="preserve"> Datacenter</v>
      </c>
      <c r="B34" s="41"/>
      <c r="C34" s="20" t="s">
        <v>21</v>
      </c>
      <c r="D34" s="20" t="s">
        <v>22</v>
      </c>
      <c r="E34" s="42" t="s">
        <v>23</v>
      </c>
      <c r="F34" s="53" t="s">
        <v>24</v>
      </c>
      <c r="I34" s="7"/>
      <c r="J34" s="7"/>
    </row>
    <row r="35" spans="1:10" s="3" customFormat="1" ht="84" customHeight="1" x14ac:dyDescent="0.15">
      <c r="A35" s="36" t="s">
        <v>180</v>
      </c>
      <c r="B35" s="44" t="str">
        <f>VLOOKUP($A35,Questions!$A$2:$X$333,2,0)</f>
        <v>Select your hosting option.</v>
      </c>
      <c r="C35" s="82" t="s">
        <v>75</v>
      </c>
      <c r="D35" s="81"/>
      <c r="E35" s="47" t="str">
        <f>IF(OR($C35="",$C35="Other"),VLOOKUP($A35,Questions!$A$2:$X$333,15,0),"")&amp;""</f>
        <v/>
      </c>
      <c r="F35" s="48" t="str">
        <f>VLOOKUP($A35,'Institution Evaluation'!$A$56:$F$345,6,0)&amp;""</f>
        <v/>
      </c>
      <c r="I35" s="7"/>
      <c r="J35" s="7"/>
    </row>
    <row r="36" spans="1:10" s="3" customFormat="1" ht="53.25" customHeight="1" x14ac:dyDescent="0.15">
      <c r="A36" s="36" t="s">
        <v>181</v>
      </c>
      <c r="B36" s="44" t="str">
        <f>VLOOKUP($A36,Questions!$A$2:$X$333,2,0)</f>
        <v>Is a SOC 2 Type 2 report available for the hosting environment?</v>
      </c>
      <c r="C36" s="45" t="s">
        <v>75</v>
      </c>
      <c r="D36" s="81"/>
      <c r="E36" s="47" t="str">
        <f>IF($C$35="","",IF(OR($C$35='Auto Responses'!$J$20,$C$35='Auto Responses'!$J$21,$C$35='Auto Responses'!$J$22),'Auto Responses'!$A$26,IF($C36='Auto Responses'!$J$3,VLOOKUP($A36,Questions!$A$2:$X$333,17,0)&amp;"",IF($C36='Auto Responses'!$J$4,VLOOKUP($A36,Questions!$A$2:$X$333,16,0)&amp;"",VLOOKUP($A36,Questions!$A$2:$X$333,15,0)&amp;""))))</f>
        <v/>
      </c>
      <c r="F36" s="48" t="str">
        <f>VLOOKUP($A36,'Institution Evaluation'!$A$56:$F$345,6,0)&amp;""</f>
        <v/>
      </c>
      <c r="I36" s="7"/>
      <c r="J36" s="7"/>
    </row>
    <row r="37" spans="1:10" s="3" customFormat="1" ht="58.5" customHeight="1" x14ac:dyDescent="0.15">
      <c r="A37" s="36" t="s">
        <v>182</v>
      </c>
      <c r="B37" s="44" t="str">
        <f>VLOOKUP($A37,Questions!$A$2:$X$333,2,0)</f>
        <v>Are you generally able to accommodate storing each institution's data within its geographic region?</v>
      </c>
      <c r="C37" s="45" t="s">
        <v>75</v>
      </c>
      <c r="D37" s="81"/>
      <c r="E37" s="47" t="str">
        <f>IF($C$35="","",IF($C37='Auto Responses'!$J$3,VLOOKUP($A37,Questions!$A$2:$X$333,17,0)&amp;"",IF($C37='Auto Responses'!$J$4,VLOOKUP($A37,Questions!$A$2:$X$333,16,0)&amp;"",VLOOKUP($A37,Questions!$A$2:$X$333,15,0)&amp;"")))</f>
        <v>Please indicate which geographic regions you can provide storage in the Additional Info column.</v>
      </c>
      <c r="F37" s="48" t="str">
        <f>VLOOKUP($A37,'Institution Evaluation'!$A$56:$F$345,6,0)&amp;""</f>
        <v/>
      </c>
      <c r="I37" s="7"/>
      <c r="J37" s="7"/>
    </row>
    <row r="38" spans="1:10" s="3" customFormat="1" ht="53.25" customHeight="1" x14ac:dyDescent="0.15">
      <c r="A38" s="36" t="s">
        <v>183</v>
      </c>
      <c r="B38" s="44" t="str">
        <f>VLOOKUP($A38,Questions!$A$2:$X$333,2,0)</f>
        <v>Are the data centers staffed 24 hours a day, seven days a week (i.e., 24 x 7 x 365)?</v>
      </c>
      <c r="C38" s="45" t="s">
        <v>75</v>
      </c>
      <c r="D38" s="81"/>
      <c r="E38" s="47" t="str">
        <f>IF($C$35="","",IF(OR($C$35='Auto Responses'!$J$20,$C$35='Auto Responses'!$J$21,$C$35='Auto Responses'!$J$22),'Auto Responses'!$A$26,IF($C38='Auto Responses'!$J$3,VLOOKUP($A38,Questions!$A$2:$X$333,17,0)&amp;"",IF($C38='Auto Responses'!$J$4,VLOOKUP($A38,Questions!$A$2:$X$333,16,0)&amp;"",VLOOKUP($A38,Questions!$A$2:$X$333,15,0)&amp;""))))</f>
        <v/>
      </c>
      <c r="F38" s="48" t="str">
        <f>VLOOKUP($A38,'Institution Evaluation'!$A$56:$F$345,6,0)&amp;""</f>
        <v/>
      </c>
      <c r="I38" s="7"/>
      <c r="J38" s="7"/>
    </row>
    <row r="39" spans="1:10" s="3" customFormat="1" ht="55.5" customHeight="1" x14ac:dyDescent="0.15">
      <c r="A39" s="36" t="s">
        <v>184</v>
      </c>
      <c r="B39" s="44" t="str">
        <f>VLOOKUP($A39,Questions!$A$2:$X$333,2,0)</f>
        <v>Are your servers separated from other companies via a physical barrier, such as a cage or hard walls?</v>
      </c>
      <c r="C39" s="45" t="s">
        <v>75</v>
      </c>
      <c r="D39" s="81"/>
      <c r="E39" s="47" t="str">
        <f>IF($C$35="","",IF(OR($C$35='Auto Responses'!$J$17,$C$35='Auto Responses'!$J$19,$C$35='Auto Responses'!$J$20,$C$35='Auto Responses'!$J$21,$C$35='Auto Responses'!$J$22),'Auto Responses'!$A$26,IF($C39='Auto Responses'!$J$3,VLOOKUP($A39,Questions!$A$2:$X$333,17,0)&amp;"",IF($C39='Auto Responses'!$J$4,VLOOKUP($A39,Questions!$A$2:$X$333,16,0)&amp;"",VLOOKUP($A39,Questions!$A$2:$X$333,15,0)&amp;""))))</f>
        <v/>
      </c>
      <c r="F39" s="48" t="str">
        <f>VLOOKUP($A39,'Institution Evaluation'!$A$56:$F$345,6,0)&amp;""</f>
        <v/>
      </c>
      <c r="I39" s="7"/>
      <c r="J39" s="7"/>
    </row>
    <row r="40" spans="1:10" s="3" customFormat="1" ht="56.25" customHeight="1" x14ac:dyDescent="0.15">
      <c r="A40" s="36" t="s">
        <v>185</v>
      </c>
      <c r="B40" s="44" t="str">
        <f>VLOOKUP($A40,Questions!$A$2:$X$333,2,0)</f>
        <v>Does a physical barrier fully enclose the physical space, preventing unauthorized physical contact with any of your devices?*</v>
      </c>
      <c r="C40" s="45" t="s">
        <v>75</v>
      </c>
      <c r="D40" s="81"/>
      <c r="E40" s="47" t="str">
        <f>IF($C$35="","",IF(OR($C$35='Auto Responses'!$J$19,$C$35='Auto Responses'!$J$20,$C$35='Auto Responses'!$J$21,$C$35='Auto Responses'!$J$22),'Auto Responses'!$A$26,IF($C40='Auto Responses'!$J$3,VLOOKUP($A40,Questions!$A$2:$X$333,17,0)&amp;"",IF($C40='Auto Responses'!$J$4,VLOOKUP($A40,Questions!$A$2:$X$333,16,0)&amp;"",VLOOKUP($A40,Questions!$A$2:$X$333,15,0)&amp;""))))</f>
        <v/>
      </c>
      <c r="F40" s="48" t="str">
        <f>VLOOKUP($A40,'Institution Evaluation'!$A$56:$F$345,6,0)&amp;""</f>
        <v/>
      </c>
      <c r="I40" s="7"/>
      <c r="J40" s="7"/>
    </row>
    <row r="41" spans="1:10" s="3" customFormat="1" ht="48.75" customHeight="1" x14ac:dyDescent="0.15">
      <c r="A41" s="36" t="s">
        <v>186</v>
      </c>
      <c r="B41" s="44" t="str">
        <f>VLOOKUP($A41,Questions!$A$2:$X$333,2,0)</f>
        <v>Are your primary and secondary data centers geographically diverse?</v>
      </c>
      <c r="C41" s="45" t="s">
        <v>75</v>
      </c>
      <c r="D41" s="81"/>
      <c r="E41" s="47" t="str">
        <f>IF($C$35="","",IF($C41='Auto Responses'!$J$3,VLOOKUP($A41,Questions!$A$2:$X$333,17,0)&amp;"",IF($C41='Auto Responses'!$J$4,VLOOKUP($A41,Questions!$A$2:$X$333,16,0)&amp;"",VLOOKUP($A41,Questions!$A$2:$X$333,15,0)&amp;"")))</f>
        <v/>
      </c>
      <c r="F41" s="48" t="str">
        <f>VLOOKUP($A41,'Institution Evaluation'!$A$56:$F$345,6,0)&amp;""</f>
        <v/>
      </c>
      <c r="I41" s="7"/>
      <c r="J41" s="7"/>
    </row>
    <row r="42" spans="1:10" s="3" customFormat="1" ht="48" customHeight="1" x14ac:dyDescent="0.15">
      <c r="A42" s="36" t="s">
        <v>187</v>
      </c>
      <c r="B42" s="44" t="str">
        <f>VLOOKUP($A42,Questions!$A$2:$X$333,2,0)</f>
        <v>Is the service hosted in a high-availability environment?</v>
      </c>
      <c r="C42" s="45" t="s">
        <v>75</v>
      </c>
      <c r="D42" s="81"/>
      <c r="E42" s="47" t="str">
        <f>IF($C$35="","",IF($C42='Auto Responses'!$J$3,VLOOKUP($A42,Questions!$A$2:$X$333,17,0)&amp;"",IF($C42='Auto Responses'!$J$4,VLOOKUP($A42,Questions!$A$2:$X$333,16,0)&amp;"",VLOOKUP($A42,Questions!$A$2:$X$333,15,0)&amp;"")))</f>
        <v/>
      </c>
      <c r="F42" s="48" t="str">
        <f>VLOOKUP($A42,'Institution Evaluation'!$A$56:$F$345,6,0)&amp;""</f>
        <v/>
      </c>
      <c r="I42" s="7"/>
      <c r="J42" s="7"/>
    </row>
    <row r="43" spans="1:10" s="3" customFormat="1" ht="55.5" customHeight="1" x14ac:dyDescent="0.15">
      <c r="A43" s="36" t="s">
        <v>188</v>
      </c>
      <c r="B43" s="44" t="str">
        <f>VLOOKUP($A43,Questions!$A$2:$X$333,2,0)</f>
        <v>Is redundant power available for all data centers where institutional data will reside?</v>
      </c>
      <c r="C43" s="45" t="s">
        <v>75</v>
      </c>
      <c r="D43" s="81"/>
      <c r="E43" s="47" t="str">
        <f>IF($C$35="","",IF(OR($C$35='Auto Responses'!$J$20,$C$35='Auto Responses'!$J$21,$C$35='Auto Responses'!$J$22),'Auto Responses'!$A$26,IF($C43='Auto Responses'!$J$3,VLOOKUP($A43,Questions!$A$2:$X$333,17,0)&amp;"",IF($C43='Auto Responses'!$J$4,VLOOKUP($A43,Questions!$A$2:$X$333,16,0)&amp;"",VLOOKUP($A43,Questions!$A$2:$X$333,15,0)&amp;""))))</f>
        <v/>
      </c>
      <c r="F43" s="48" t="str">
        <f>VLOOKUP($A43,'Institution Evaluation'!$A$56:$F$345,6,0)&amp;""</f>
        <v/>
      </c>
      <c r="I43" s="7"/>
      <c r="J43" s="7"/>
    </row>
    <row r="44" spans="1:10" s="3" customFormat="1" ht="56.25" customHeight="1" x14ac:dyDescent="0.15">
      <c r="A44" s="36" t="s">
        <v>189</v>
      </c>
      <c r="B44" s="44" t="str">
        <f>VLOOKUP($A44,Questions!$A$2:$X$333,2,0)</f>
        <v>Are redundant power strategies tested?*</v>
      </c>
      <c r="C44" s="45" t="s">
        <v>75</v>
      </c>
      <c r="D44" s="81"/>
      <c r="E44" s="47" t="str">
        <f>IF($C$35="","",IF(OR($C$35='Auto Responses'!$J$20,$C$35='Auto Responses'!$J$21,$C$35='Auto Responses'!$J$22),'Auto Responses'!$A$26,IF($C44='Auto Responses'!$J$3,VLOOKUP($A44,Questions!$A$2:$X$333,17,0)&amp;"",IF($C44='Auto Responses'!$J$4,VLOOKUP($A44,Questions!$A$2:$X$333,16,0)&amp;"",VLOOKUP($A44,Questions!$A$2:$X$333,15,0)&amp;""))))</f>
        <v/>
      </c>
      <c r="F44" s="48" t="str">
        <f>VLOOKUP($A44,'Institution Evaluation'!$A$56:$F$345,6,0)&amp;""</f>
        <v/>
      </c>
      <c r="I44" s="7"/>
      <c r="J44" s="7"/>
    </row>
    <row r="45" spans="1:10" s="3" customFormat="1" ht="60" customHeight="1" x14ac:dyDescent="0.15">
      <c r="A45" s="36" t="s">
        <v>190</v>
      </c>
      <c r="B45" s="44" t="str">
        <f>VLOOKUP($A45,Questions!$A$2:$X$333,2,0)</f>
        <v>Does the center where the data will reside have cooling and fire-suppression systems that are active and regularly tested?</v>
      </c>
      <c r="C45" s="45" t="s">
        <v>75</v>
      </c>
      <c r="D45" s="81"/>
      <c r="E45" s="47" t="str">
        <f>IF($C$35="","",IF(OR($C$35='Auto Responses'!$J$19,$C$35='Auto Responses'!$J$20,$C$35='Auto Responses'!$J$21,$C$35='Auto Responses'!$J$22,$C$35='Auto Responses'!$J$23),'Auto Responses'!$A$26,IF($C45='Auto Responses'!$J$3,VLOOKUP($A45,Questions!$A$2:$X$333,17,0)&amp;"",IF($C45='Auto Responses'!$J$4,VLOOKUP($A45,Questions!$A$2:$X$333,16,0)&amp;"",VLOOKUP($A45,Questions!$A$2:$X$333,15,0)&amp;""))))</f>
        <v/>
      </c>
      <c r="F45" s="48" t="str">
        <f>VLOOKUP($A45,'Institution Evaluation'!$A$56:$F$345,6,0)&amp;""</f>
        <v/>
      </c>
      <c r="I45" s="7"/>
      <c r="J45" s="7"/>
    </row>
    <row r="46" spans="1:10" s="3" customFormat="1" ht="55.5" customHeight="1" x14ac:dyDescent="0.15">
      <c r="A46" s="36" t="s">
        <v>191</v>
      </c>
      <c r="B46" s="44" t="str">
        <f>VLOOKUP($A46,Questions!$A$2:$X$333,2,0)</f>
        <v>Do you have Internet Service Provider (ISP) redundancy?</v>
      </c>
      <c r="C46" s="45" t="s">
        <v>75</v>
      </c>
      <c r="D46" s="81"/>
      <c r="E46" s="47" t="str">
        <f>IF($C$35="","",IF(OR($C$35='Auto Responses'!$J$20,$C$35='Auto Responses'!$J$21,$C$35='Auto Responses'!$J$22),'Auto Responses'!$A$26,IF($C46='Auto Responses'!$J$3,VLOOKUP($A46,Questions!$A$2:$X$333,17,0)&amp;"",IF($C46='Auto Responses'!$J$4,VLOOKUP($A46,Questions!$A$2:$X$333,16,0)&amp;"",VLOOKUP($A46,Questions!$A$2:$X$333,15,0)&amp;""))))</f>
        <v>State the ISP provider(s) in addition to the number of ISPs that provide connectivity.</v>
      </c>
      <c r="F46" s="48" t="str">
        <f>VLOOKUP($A46,'Institution Evaluation'!$A$56:$F$345,6,0)&amp;""</f>
        <v/>
      </c>
      <c r="I46" s="7"/>
      <c r="J46" s="7"/>
    </row>
    <row r="47" spans="1:10" s="3" customFormat="1" ht="56.25" customHeight="1" x14ac:dyDescent="0.15">
      <c r="A47" s="36" t="s">
        <v>192</v>
      </c>
      <c r="B47" s="44" t="str">
        <f>VLOOKUP($A47,Questions!$A$2:$X$333,2,0)</f>
        <v>Does every data center where the institution's data will reside have multiple telephone company or network provider entrances to the facility?</v>
      </c>
      <c r="C47" s="45" t="s">
        <v>75</v>
      </c>
      <c r="D47" s="81"/>
      <c r="E47" s="47" t="str">
        <f>IF($C$35="","",IF(OR($C$35='Auto Responses'!$J$20,$C$35='Auto Responses'!$J$21,$C$35='Auto Responses'!$J$22),'Auto Responses'!$A$26,IF($C47='Auto Responses'!$J$3,VLOOKUP($A47,Questions!$A$2:$X$333,17,0)&amp;"",IF($C47='Auto Responses'!$J$4,VLOOKUP($A47,Questions!$A$2:$X$333,16,0)&amp;"",VLOOKUP($A47,Questions!$A$2:$X$333,15,0)&amp;""))))</f>
        <v/>
      </c>
      <c r="F47" s="48" t="str">
        <f>VLOOKUP($A47,'Institution Evaluation'!$A$56:$F$345,6,0)&amp;""</f>
        <v/>
      </c>
      <c r="I47" s="7"/>
      <c r="J47" s="7"/>
    </row>
    <row r="48" spans="1:10" s="3" customFormat="1" ht="49.5" customHeight="1" x14ac:dyDescent="0.15">
      <c r="A48" s="36" t="s">
        <v>193</v>
      </c>
      <c r="B48" s="44" t="str">
        <f>VLOOKUP($A48,Questions!$A$2:$X$333,2,0)</f>
        <v>Do you require multifactor authentication for all administrative accounts in your environment?</v>
      </c>
      <c r="C48" s="45" t="s">
        <v>75</v>
      </c>
      <c r="D48" s="81"/>
      <c r="E48" s="47" t="str">
        <f>IF($C$35="","",IF($C48='Auto Responses'!$J$3,VLOOKUP($A48,Questions!$A$2:$X$333,17,0)&amp;"",IF($C48='Auto Responses'!$J$4,VLOOKUP($A48,Questions!$A$2:$X$333,16,0)&amp;"",VLOOKUP($A48,Questions!$A$2:$X$333,15,0)&amp;"")))</f>
        <v/>
      </c>
      <c r="F48" s="48" t="str">
        <f>VLOOKUP($A48,'Institution Evaluation'!$A$56:$F$345,6,0)&amp;""</f>
        <v/>
      </c>
      <c r="I48" s="7"/>
      <c r="J48" s="7"/>
    </row>
    <row r="49" spans="1:10" s="3" customFormat="1" ht="54" customHeight="1" x14ac:dyDescent="0.15">
      <c r="A49" s="36" t="s">
        <v>194</v>
      </c>
      <c r="B49" s="44" t="str">
        <f>VLOOKUP($A49,Questions!$A$2:$X$333,2,0)</f>
        <v>Are you using your cloud provider's available hardening tools or pre-hardened images?</v>
      </c>
      <c r="C49" s="45" t="s">
        <v>75</v>
      </c>
      <c r="D49" s="81"/>
      <c r="E49" s="47" t="str">
        <f>IF($C$35="","",IF(OR($C$35='Auto Responses'!$J$17,$C$35='Auto Responses'!$J$18),'Auto Responses'!$A$26,IF($C49='Auto Responses'!$J$3,VLOOKUP($A49,Questions!$A$2:$X$333,17,0)&amp;"",IF($C49='Auto Responses'!$J$4,VLOOKUP($A49,Questions!$A$2:$X$333,16,0)&amp;"",VLOOKUP($A49,Questions!$A$2:$X$333,15,0)&amp;""))))</f>
        <v/>
      </c>
      <c r="F49" s="48" t="str">
        <f>VLOOKUP($A49,'Institution Evaluation'!$A$56:$F$345,6,0)&amp;""</f>
        <v/>
      </c>
      <c r="I49" s="7"/>
      <c r="J49" s="7"/>
    </row>
    <row r="50" spans="1:10" s="3" customFormat="1" ht="52.5" customHeight="1" x14ac:dyDescent="0.15">
      <c r="A50" s="36" t="s">
        <v>195</v>
      </c>
      <c r="B50" s="44" t="str">
        <f>VLOOKUP($A50,Questions!$A$2:$X$333,2,0)</f>
        <v>Does your cloud solution provider have access to your encryption keys?</v>
      </c>
      <c r="C50" s="45" t="s">
        <v>75</v>
      </c>
      <c r="D50" s="81"/>
      <c r="E50" s="47" t="str">
        <f>IF($C$35="","",IF(OR($C$35='Auto Responses'!$J$17,$C$35='Auto Responses'!$J$18),'Auto Responses'!$A$26,IF($C50='Auto Responses'!$J$3,VLOOKUP($A50,Questions!$A$2:$X$333,17,0)&amp;"",IF($C50='Auto Responses'!$J$4,VLOOKUP($A50,Questions!$A$2:$X$333,16,0)&amp;"",VLOOKUP($A50,Questions!$A$2:$X$333,15,0)&amp;""))))</f>
        <v>Describe your key management practices.</v>
      </c>
      <c r="F50" s="48" t="str">
        <f>VLOOKUP($A50,'Institution Evaluation'!$A$56:$F$345,6,0)&amp;""</f>
        <v/>
      </c>
      <c r="I50" s="7"/>
      <c r="J50" s="7"/>
    </row>
    <row r="51" spans="1:10" s="3" customFormat="1" ht="36.75" customHeight="1" x14ac:dyDescent="0.15">
      <c r="A51" s="32" t="str">
        <f>VLOOKUP(LEFT($A52,4),'Auto Responses'!$N$4:$O$38,2,0)&amp;""</f>
        <v xml:space="preserve"> Firewalls, IDS, IPS, and Networking</v>
      </c>
      <c r="B51" s="41"/>
      <c r="C51" s="20" t="s">
        <v>21</v>
      </c>
      <c r="D51" s="20" t="s">
        <v>22</v>
      </c>
      <c r="E51" s="42" t="s">
        <v>23</v>
      </c>
      <c r="F51" s="53" t="s">
        <v>24</v>
      </c>
      <c r="I51" s="7"/>
      <c r="J51" s="7"/>
    </row>
    <row r="52" spans="1:10" s="3" customFormat="1" ht="38.25" customHeight="1" x14ac:dyDescent="0.15">
      <c r="A52" s="36" t="s">
        <v>196</v>
      </c>
      <c r="B52" s="44" t="str">
        <f>VLOOKUP($A52,Questions!$A$2:$X$333,2,0)</f>
        <v>Are you utilizing a stateful packet inspection (SPI) firewall?*</v>
      </c>
      <c r="C52" s="45" t="s">
        <v>75</v>
      </c>
      <c r="D52" s="81"/>
      <c r="E52" s="47" t="str">
        <f>IF($C$18='Auto Responses'!$J$4,'Auto Responses'!$A$3,IF($C52='Auto Responses'!$J$3,VLOOKUP($A52,Questions!$A$2:$X$333,17,0)&amp;"",IF($C52='Auto Responses'!$J$4,VLOOKUP($A52,Questions!$A$2:$X$333,16,0)&amp;"",VLOOKUP($A52,Questions!$A$2:$X$333,15,0)&amp;"")))</f>
        <v xml:space="preserve">Based on the response to REQU-01 on the "START HERE" tab, this question does not apply to this product or service. </v>
      </c>
      <c r="F52" s="48" t="str">
        <f>VLOOKUP($A52,'Institution Evaluation'!$A$56:$F$345,6,0)&amp;""</f>
        <v/>
      </c>
      <c r="I52" s="7"/>
      <c r="J52" s="7"/>
    </row>
    <row r="53" spans="1:10" s="3" customFormat="1" ht="38.25" customHeight="1" x14ac:dyDescent="0.15">
      <c r="A53" s="36" t="s">
        <v>197</v>
      </c>
      <c r="B53" s="44" t="str">
        <f>VLOOKUP($A53,Questions!$A$2:$X$333,2,0)</f>
        <v>Do you have a documented policy for firewall change requests?*</v>
      </c>
      <c r="C53" s="45" t="s">
        <v>75</v>
      </c>
      <c r="D53" s="81"/>
      <c r="E53" s="47" t="str">
        <f>IF($C$18='Auto Responses'!$J$4,'Auto Responses'!$A$3,IF($C53='Auto Responses'!$J$3,VLOOKUP($A53,Questions!$A$2:$X$333,17,0)&amp;"",IF($C53='Auto Responses'!$J$4,VLOOKUP($A53,Questions!$A$2:$X$333,16,0)&amp;"",VLOOKUP($A53,Questions!$A$2:$X$333,15,0)&amp;"")))</f>
        <v xml:space="preserve">Based on the response to REQU-01 on the "START HERE" tab, this question does not apply to this product or service. </v>
      </c>
      <c r="F53" s="48" t="str">
        <f>VLOOKUP($A53,'Institution Evaluation'!$A$56:$F$345,6,0)&amp;""</f>
        <v/>
      </c>
      <c r="I53" s="7"/>
      <c r="J53" s="7"/>
    </row>
    <row r="54" spans="1:10" s="3" customFormat="1" ht="38.25" customHeight="1" x14ac:dyDescent="0.15">
      <c r="A54" s="36" t="s">
        <v>198</v>
      </c>
      <c r="B54" s="44" t="str">
        <f>VLOOKUP($A54,Questions!$A$2:$X$333,2,0)</f>
        <v>Have you implemented an intrusion detection system (network-based)?*</v>
      </c>
      <c r="C54" s="45" t="s">
        <v>75</v>
      </c>
      <c r="D54" s="81"/>
      <c r="E54" s="47" t="str">
        <f>IF($C$18='Auto Responses'!$J$4,'Auto Responses'!$A$3,IF($C54='Auto Responses'!$J$3,VLOOKUP($A54,Questions!$A$2:$X$333,17,0)&amp;"",IF($C54='Auto Responses'!$J$4,VLOOKUP($A54,Questions!$A$2:$X$333,16,0)&amp;"",VLOOKUP($A54,Questions!$A$2:$X$333,15,0)&amp;"")))</f>
        <v xml:space="preserve">Based on the response to REQU-01 on the "START HERE" tab, this question does not apply to this product or service. </v>
      </c>
      <c r="F54" s="48" t="str">
        <f>VLOOKUP($A54,'Institution Evaluation'!$A$56:$F$345,6,0)&amp;""</f>
        <v/>
      </c>
      <c r="I54" s="7"/>
      <c r="J54" s="7"/>
    </row>
    <row r="55" spans="1:10" s="3" customFormat="1" ht="38.25" customHeight="1" x14ac:dyDescent="0.15">
      <c r="A55" s="36" t="s">
        <v>199</v>
      </c>
      <c r="B55" s="44" t="str">
        <f>VLOOKUP($A55,Questions!$A$2:$X$333,2,0)</f>
        <v>Do you employ host-based intrusion detection?*</v>
      </c>
      <c r="C55" s="45" t="s">
        <v>75</v>
      </c>
      <c r="D55" s="81"/>
      <c r="E55" s="47" t="str">
        <f>IF($C$18='Auto Responses'!$J$4,'Auto Responses'!$A$3,IF($C55='Auto Responses'!$J$3,VLOOKUP($A55,Questions!$A$2:$X$333,17,0)&amp;"",IF($C55='Auto Responses'!$J$4,VLOOKUP($A55,Questions!$A$2:$X$333,16,0)&amp;"",IF($C55='Auto Responses'!$J$5,VLOOKUP($A55,Questions!$A$2:$X$333,18,0)&amp;"",VLOOKUP($A55,Questions!$A$2:$X$333,15,0)&amp;""))))</f>
        <v xml:space="preserve">Based on the response to REQU-01 on the "START HERE" tab, this question does not apply to this product or service. </v>
      </c>
      <c r="F55" s="48" t="str">
        <f>VLOOKUP($A55,'Institution Evaluation'!$A$56:$F$345,6,0)&amp;""</f>
        <v/>
      </c>
      <c r="I55" s="7"/>
      <c r="J55" s="7"/>
    </row>
    <row r="56" spans="1:10" s="3" customFormat="1" ht="38.25" customHeight="1" x14ac:dyDescent="0.15">
      <c r="A56" s="36" t="s">
        <v>200</v>
      </c>
      <c r="B56" s="44" t="str">
        <f>VLOOKUP($A56,Questions!$A$2:$X$333,2,0)</f>
        <v>Are audit logs available for all changes to the network, firewall, IDS, and IPS systems?*</v>
      </c>
      <c r="C56" s="45" t="s">
        <v>75</v>
      </c>
      <c r="D56" s="81"/>
      <c r="E56" s="47" t="str">
        <f>IF($C$18='Auto Responses'!$J$4,'Auto Responses'!$A$3,IF($C56='Auto Responses'!$J$3,VLOOKUP($A56,Questions!$A$2:$X$333,17,0)&amp;"",IF($C56='Auto Responses'!$J$4,VLOOKUP($A56,Questions!$A$2:$X$333,16,0)&amp;"",VLOOKUP($A56,Questions!$A$2:$X$333,15,0)&amp;"")))</f>
        <v xml:space="preserve">Based on the response to REQU-01 on the "START HERE" tab, this question does not apply to this product or service. </v>
      </c>
      <c r="F56" s="48" t="str">
        <f>VLOOKUP($A56,'Institution Evaluation'!$A$56:$F$345,6,0)&amp;""</f>
        <v/>
      </c>
      <c r="I56" s="7"/>
      <c r="J56" s="7"/>
    </row>
    <row r="57" spans="1:10" s="3" customFormat="1" ht="48" customHeight="1" x14ac:dyDescent="0.15">
      <c r="A57" s="36" t="s">
        <v>201</v>
      </c>
      <c r="B57" s="44" t="str">
        <f>VLOOKUP($A57,Questions!$A$2:$X$333,2,0)</f>
        <v>Is authority for firewall change approval documented? Please list approver names or titles in Additional Info.</v>
      </c>
      <c r="C57" s="45" t="s">
        <v>75</v>
      </c>
      <c r="D57" s="81"/>
      <c r="E57" s="47" t="str">
        <f>IF($C$18='Auto Responses'!$J$4,'Auto Responses'!$A$3,IF($C57='Auto Responses'!$J$3,VLOOKUP($A57,Questions!$A$2:$X$333,17,0)&amp;"",IF($C57='Auto Responses'!$J$4,VLOOKUP($A57,Questions!$A$2:$X$333,16,0)&amp;"",VLOOKUP($A57,Questions!$A$2:$X$333,15,0)&amp;"")))</f>
        <v xml:space="preserve">Based on the response to REQU-01 on the "START HERE" tab, this question does not apply to this product or service. </v>
      </c>
      <c r="F57" s="48" t="str">
        <f>VLOOKUP($A57,'Institution Evaluation'!$A$56:$F$345,6,0)&amp;""</f>
        <v/>
      </c>
      <c r="I57" s="7"/>
      <c r="J57" s="7"/>
    </row>
    <row r="58" spans="1:10" s="3" customFormat="1" ht="38.25" customHeight="1" x14ac:dyDescent="0.15">
      <c r="A58" s="36" t="s">
        <v>202</v>
      </c>
      <c r="B58" s="44" t="str">
        <f>VLOOKUP($A58,Questions!$A$2:$X$333,2,0)</f>
        <v>Have you implemented an intrusion prevention system (network-based)?</v>
      </c>
      <c r="C58" s="45" t="s">
        <v>75</v>
      </c>
      <c r="D58" s="81"/>
      <c r="E58" s="47" t="str">
        <f>IF($C$18='Auto Responses'!$J$4,'Auto Responses'!$A$3,IF($C58='Auto Responses'!$J$3,VLOOKUP($A58,Questions!$A$2:$X$333,17,0)&amp;"",IF($C58='Auto Responses'!$J$4,VLOOKUP($A58,Questions!$A$2:$X$333,16,0)&amp;"",VLOOKUP($A58,Questions!$A$2:$X$333,15,0)&amp;"")))</f>
        <v xml:space="preserve">Based on the response to REQU-01 on the "START HERE" tab, this question does not apply to this product or service. </v>
      </c>
      <c r="F58" s="48" t="str">
        <f>VLOOKUP($A58,'Institution Evaluation'!$A$56:$F$345,6,0)&amp;""</f>
        <v/>
      </c>
      <c r="I58" s="7"/>
      <c r="J58" s="7"/>
    </row>
    <row r="59" spans="1:10" s="3" customFormat="1" ht="38.25" customHeight="1" x14ac:dyDescent="0.15">
      <c r="A59" s="36" t="s">
        <v>203</v>
      </c>
      <c r="B59" s="44" t="str">
        <f>VLOOKUP($A59,Questions!$A$2:$X$333,2,0)</f>
        <v>Do you employ host-based intrusion prevention?</v>
      </c>
      <c r="C59" s="45" t="s">
        <v>75</v>
      </c>
      <c r="D59" s="81"/>
      <c r="E59" s="47" t="str">
        <f>IF($C$18='Auto Responses'!$J$4,'Auto Responses'!$A$3,IF($C59='Auto Responses'!$J$3,VLOOKUP($A59,Questions!$A$2:$X$333,17,0)&amp;"",IF($C59='Auto Responses'!$J$4,VLOOKUP($A59,Questions!$A$2:$X$333,16,0)&amp;"",IF($C59='Auto Responses'!$J$5,VLOOKUP($A59,Questions!$A$2:$X$333,18,0)&amp;"",VLOOKUP($A59,Questions!$A$2:$X$333,15,0)&amp;""))))</f>
        <v xml:space="preserve">Based on the response to REQU-01 on the "START HERE" tab, this question does not apply to this product or service. </v>
      </c>
      <c r="F59" s="48" t="str">
        <f>VLOOKUP($A59,'Institution Evaluation'!$A$56:$F$345,6,0)&amp;""</f>
        <v/>
      </c>
      <c r="I59" s="7"/>
      <c r="J59" s="7"/>
    </row>
    <row r="60" spans="1:10" s="3" customFormat="1" ht="38.25" customHeight="1" x14ac:dyDescent="0.15">
      <c r="A60" s="36" t="s">
        <v>204</v>
      </c>
      <c r="B60" s="44" t="str">
        <f>VLOOKUP($A60,Questions!$A$2:$X$333,2,0)</f>
        <v>Are you employing any next-generation persistent threat (NGPT) monitoring?</v>
      </c>
      <c r="C60" s="45" t="s">
        <v>75</v>
      </c>
      <c r="D60" s="81"/>
      <c r="E60" s="47" t="str">
        <f>IF($C$18='Auto Responses'!$J$4,'Auto Responses'!$A$3,IF($C60='Auto Responses'!$J$3,VLOOKUP($A60,Questions!$A$2:$X$333,17,0)&amp;"",IF($C60='Auto Responses'!$J$4,VLOOKUP($A60,Questions!$A$2:$X$333,16,0)&amp;"",VLOOKUP($A60,Questions!$A$2:$X$333,15,0)&amp;"")))</f>
        <v xml:space="preserve">Based on the response to REQU-01 on the "START HERE" tab, this question does not apply to this product or service. </v>
      </c>
      <c r="F60" s="48" t="str">
        <f>VLOOKUP($A60,'Institution Evaluation'!$A$56:$F$345,6,0)&amp;""</f>
        <v/>
      </c>
      <c r="I60" s="7"/>
      <c r="J60" s="7"/>
    </row>
    <row r="61" spans="1:10" s="3" customFormat="1" ht="60" customHeight="1" x14ac:dyDescent="0.15">
      <c r="A61" s="36" t="s">
        <v>205</v>
      </c>
      <c r="B61" s="44" t="str">
        <f>VLOOKUP($A61,Questions!$A$2:$X$333,2,0)</f>
        <v>Is intrusion monitoring performed internally or by a third-party service?</v>
      </c>
      <c r="C61" s="83" t="s">
        <v>75</v>
      </c>
      <c r="D61" s="50"/>
      <c r="E61" s="47" t="str">
        <f>IF($C$18='Auto Responses'!$J$4,'Auto Responses'!$A$3,IF($C61='Auto Responses'!$J$3,VLOOKUP($A61,Questions!$A$2:$X$333,17,0)&amp;"",IF($C61='Auto Responses'!$J$4,VLOOKUP($A61,Questions!$A$2:$X$333,16,0)&amp;"",VLOOKUP($A61,Questions!$A$2:$X$333,15,0)&amp;"")))</f>
        <v xml:space="preserve">Based on the response to REQU-01 on the "START HERE" tab, this question does not apply to this product or service. </v>
      </c>
      <c r="F61" s="48" t="str">
        <f>VLOOKUP($A61,'Institution Evaluation'!$A$56:$F$345,6,0)&amp;""</f>
        <v/>
      </c>
      <c r="I61" s="7"/>
      <c r="J61" s="7"/>
    </row>
    <row r="62" spans="1:10" s="3" customFormat="1" ht="36" customHeight="1" x14ac:dyDescent="0.15">
      <c r="A62" s="36" t="s">
        <v>206</v>
      </c>
      <c r="B62" s="44" t="str">
        <f>VLOOKUP($A62,Questions!$A$2:$X$333,2,0)</f>
        <v>Do you monitor for intrusions on a 24 x 7 x 365 basis?</v>
      </c>
      <c r="C62" s="45" t="s">
        <v>75</v>
      </c>
      <c r="D62" s="81"/>
      <c r="E62" s="47" t="str">
        <f>IF($C$18='Auto Responses'!$J$4,'Auto Responses'!$A$3,IF($C62='Auto Responses'!$J$3,VLOOKUP($A62,Questions!$A$2:$X$333,17,0)&amp;"",IF($C62='Auto Responses'!$J$4,VLOOKUP($A62,Questions!$A$2:$X$333,16,0)&amp;"",VLOOKUP($A62,Questions!$A$2:$X$333,15,0)&amp;"")))</f>
        <v xml:space="preserve">Based on the response to REQU-01 on the "START HERE" tab, this question does not apply to this product or service. </v>
      </c>
      <c r="F62" s="48" t="str">
        <f>VLOOKUP($A62,'Institution Evaluation'!$A$56:$F$345,6,0)&amp;""</f>
        <v/>
      </c>
      <c r="G62" s="62" t="s">
        <v>35</v>
      </c>
      <c r="I62" s="7"/>
      <c r="J62" s="7"/>
    </row>
    <row r="63" spans="1:10" s="3" customFormat="1" ht="36.75" customHeight="1" x14ac:dyDescent="0.15">
      <c r="A63" s="32" t="str">
        <f>VLOOKUP(LEFT($A64,4),'Auto Responses'!$N$4:$O$38,2,0)&amp;""</f>
        <v xml:space="preserve"> Incident Handling</v>
      </c>
      <c r="B63" s="41"/>
      <c r="C63" s="20" t="s">
        <v>21</v>
      </c>
      <c r="D63" s="20" t="s">
        <v>22</v>
      </c>
      <c r="E63" s="42" t="s">
        <v>23</v>
      </c>
      <c r="F63" s="53" t="s">
        <v>24</v>
      </c>
      <c r="I63" s="7"/>
      <c r="J63" s="7"/>
    </row>
    <row r="64" spans="1:10" s="3" customFormat="1" ht="27" customHeight="1" x14ac:dyDescent="0.15">
      <c r="A64" s="36" t="s">
        <v>207</v>
      </c>
      <c r="B64" s="44" t="str">
        <f>VLOOKUP($A64,Questions!$A$2:$X$333,2,0)</f>
        <v>Do you have a formal incident response plan?</v>
      </c>
      <c r="C64" s="45" t="s">
        <v>75</v>
      </c>
      <c r="D64" s="81"/>
      <c r="E64" s="47" t="str">
        <f>IF($C$18='Auto Responses'!$J$4,'Auto Responses'!$A$3,IF($C64='Auto Responses'!$J$3,VLOOKUP($A64,Questions!$A$2:$X$333,17,0)&amp;"",IF($C64='Auto Responses'!$J$4,VLOOKUP($A64,Questions!$A$2:$X$333,16,0)&amp;"",VLOOKUP($A64,Questions!$A$2:$X$333,15,0)&amp;"")))</f>
        <v xml:space="preserve">Based on the response to REQU-01 on the "START HERE" tab, this question does not apply to this product or service. </v>
      </c>
      <c r="F64" s="48" t="str">
        <f>VLOOKUP($A64,'Institution Evaluation'!$A$56:$F$345,6,0)&amp;""</f>
        <v/>
      </c>
      <c r="I64" s="7"/>
      <c r="J64" s="7"/>
    </row>
    <row r="65" spans="1:12" s="3" customFormat="1" ht="40.5" customHeight="1" x14ac:dyDescent="0.15">
      <c r="A65" s="36" t="s">
        <v>208</v>
      </c>
      <c r="B65" s="44" t="str">
        <f>VLOOKUP($A65,Questions!$A$2:$X$333,2,0)</f>
        <v>Do you either have an internal incident response team or retain an external team?</v>
      </c>
      <c r="C65" s="45" t="s">
        <v>75</v>
      </c>
      <c r="D65" s="81"/>
      <c r="E65" s="47" t="str">
        <f>IF($C$18='Auto Responses'!$J$4,'Auto Responses'!$A$3,IF($C65='Auto Responses'!$J$3,VLOOKUP($A65,Questions!$A$2:$X$333,17,0)&amp;"",IF($C65='Auto Responses'!$J$4,VLOOKUP($A65,Questions!$A$2:$X$333,16,0)&amp;"",VLOOKUP($A65,Questions!$A$2:$X$333,15,0)&amp;"")))</f>
        <v xml:space="preserve">Based on the response to REQU-01 on the "START HERE" tab, this question does not apply to this product or service. </v>
      </c>
      <c r="F65" s="48" t="str">
        <f>VLOOKUP($A65,'Institution Evaluation'!$A$56:$F$345,6,0)&amp;""</f>
        <v/>
      </c>
      <c r="I65" s="7"/>
      <c r="J65" s="7"/>
    </row>
    <row r="66" spans="1:12" s="3" customFormat="1" ht="46.5" customHeight="1" x14ac:dyDescent="0.15">
      <c r="A66" s="36" t="s">
        <v>209</v>
      </c>
      <c r="B66" s="44" t="str">
        <f>VLOOKUP($A66,Questions!$A$2:$X$333,2,0)</f>
        <v>Do you have the capability to respond to incidents on a 24 x 7 x 365 basis?</v>
      </c>
      <c r="C66" s="45" t="s">
        <v>75</v>
      </c>
      <c r="D66" s="81"/>
      <c r="E66" s="47" t="str">
        <f>IF($C$18='Auto Responses'!$J$4,'Auto Responses'!$A$3,IF($C66='Auto Responses'!$J$3,VLOOKUP($A66,Questions!$A$2:$X$333,17,0)&amp;"",IF($C66='Auto Responses'!$J$4,VLOOKUP($A66,Questions!$A$2:$X$333,16,0)&amp;"",VLOOKUP($A66,Questions!$A$2:$X$333,15,0)&amp;"")))</f>
        <v xml:space="preserve">Based on the response to REQU-01 on the "START HERE" tab, this question does not apply to this product or service. </v>
      </c>
      <c r="F66" s="48" t="str">
        <f>VLOOKUP($A66,'Institution Evaluation'!$A$56:$F$345,6,0)&amp;""</f>
        <v/>
      </c>
      <c r="I66" s="7"/>
      <c r="J66" s="7"/>
    </row>
    <row r="67" spans="1:12" s="3" customFormat="1" ht="48" customHeight="1" x14ac:dyDescent="0.15">
      <c r="A67" s="36" t="s">
        <v>210</v>
      </c>
      <c r="B67" s="44" t="str">
        <f>VLOOKUP($A67,Questions!$A$2:$X$333,2,0)</f>
        <v>Do you carry cyber-risk insurance to protect against unforeseen service outages, data that is lost or stolen, and security incidents?</v>
      </c>
      <c r="C67" s="45" t="s">
        <v>75</v>
      </c>
      <c r="D67" s="81"/>
      <c r="E67" s="47" t="str">
        <f>IF($C$18='Auto Responses'!$J$4,'Auto Responses'!$A$3,IF($C67='Auto Responses'!$J$3,VLOOKUP($A67,Questions!$A$2:$X$333,17,0)&amp;"",IF($C67='Auto Responses'!$J$4,VLOOKUP($A67,Questions!$A$2:$X$333,16,0)&amp;"",VLOOKUP($A67,Questions!$A$2:$X$333,15,0)&amp;"")))</f>
        <v xml:space="preserve">Based on the response to REQU-01 on the "START HERE" tab, this question does not apply to this product or service. </v>
      </c>
      <c r="F67" s="48" t="str">
        <f>VLOOKUP($A67,'Institution Evaluation'!$A$56:$F$345,6,0)&amp;""</f>
        <v/>
      </c>
      <c r="G67" s="62" t="s">
        <v>35</v>
      </c>
      <c r="I67" s="7"/>
      <c r="J67" s="7"/>
    </row>
    <row r="68" spans="1:12" s="3" customFormat="1" ht="36.75" customHeight="1" x14ac:dyDescent="0.15">
      <c r="A68" s="32" t="str">
        <f>VLOOKUP(LEFT($A69,4),'Auto Responses'!$N$4:$O$38,2,0)&amp;""</f>
        <v xml:space="preserve"> Vulnerability Management</v>
      </c>
      <c r="B68" s="41"/>
      <c r="C68" s="20" t="s">
        <v>21</v>
      </c>
      <c r="D68" s="20" t="s">
        <v>22</v>
      </c>
      <c r="E68" s="42" t="s">
        <v>23</v>
      </c>
      <c r="F68" s="53" t="s">
        <v>24</v>
      </c>
      <c r="I68" s="7"/>
      <c r="J68" s="7"/>
    </row>
    <row r="69" spans="1:12" s="3" customFormat="1" ht="60.75" customHeight="1" x14ac:dyDescent="0.15">
      <c r="A69" s="36" t="s">
        <v>211</v>
      </c>
      <c r="B69" s="44" t="str">
        <f>VLOOKUP($A69,Questions!$A$2:$X$333,2,0)</f>
        <v>Are your systems and applications scanned with an authenticated user account for vulnerabilities (that are remediated) prior to new releases?*</v>
      </c>
      <c r="C69" s="45" t="s">
        <v>75</v>
      </c>
      <c r="D69" s="81"/>
      <c r="E69" s="47" t="str">
        <f>IF($C$18='Auto Responses'!$J$4,'Auto Responses'!$A$3,IF($C69='Auto Responses'!$J$3,VLOOKUP($A69,Questions!$A$2:$X$333,17,0)&amp;"",IF($C69='Auto Responses'!$J$4,VLOOKUP($A69,Questions!$A$2:$X$333,16,0)&amp;"",VLOOKUP($A69,Questions!$A$2:$X$333,15,0)&amp;"")))</f>
        <v xml:space="preserve">Based on the response to REQU-01 on the "START HERE" tab, this question does not apply to this product or service. </v>
      </c>
      <c r="F69" s="48" t="str">
        <f>VLOOKUP($A69,'Institution Evaluation'!$A$56:$F$345,6,0)&amp;""</f>
        <v/>
      </c>
      <c r="I69" s="7"/>
      <c r="J69" s="7"/>
    </row>
    <row r="70" spans="1:12" s="3" customFormat="1" ht="36.75" customHeight="1" x14ac:dyDescent="0.15">
      <c r="A70" s="36" t="s">
        <v>212</v>
      </c>
      <c r="B70" s="44" t="str">
        <f>VLOOKUP($A70,Questions!$A$2:$X$333,2,0)</f>
        <v>Will you provide results of application and system vulnerability scans to the institution?*</v>
      </c>
      <c r="C70" s="45" t="s">
        <v>75</v>
      </c>
      <c r="D70" s="81"/>
      <c r="E70" s="47" t="str">
        <f>IF($C$18='Auto Responses'!$J$4,'Auto Responses'!$A$3,IF($C70='Auto Responses'!$J$3,VLOOKUP($A70,Questions!$A$2:$X$333,17,0)&amp;"",IF($C70='Auto Responses'!$J$4,VLOOKUP($A70,Questions!$A$2:$X$333,16,0)&amp;"",VLOOKUP($A70,Questions!$A$2:$X$333,15,0)&amp;"")))</f>
        <v xml:space="preserve">Based on the response to REQU-01 on the "START HERE" tab, this question does not apply to this product or service. </v>
      </c>
      <c r="F70" s="48" t="str">
        <f>VLOOKUP($A70,'Institution Evaluation'!$A$56:$F$345,6,0)&amp;""</f>
        <v/>
      </c>
      <c r="I70" s="7"/>
      <c r="J70" s="7"/>
    </row>
    <row r="71" spans="1:12" s="3" customFormat="1" ht="51.75" customHeight="1" x14ac:dyDescent="0.15">
      <c r="A71" s="36" t="s">
        <v>213</v>
      </c>
      <c r="B71" s="44" t="str">
        <f>VLOOKUP($A71,Questions!$A$2:$X$333,2,0)</f>
        <v>Will you allow the institution to perform its own vulnerability testing and/or scanning of your systems and/or application, provided that testing is performed at a mutually agreed upon time and date?*</v>
      </c>
      <c r="C71" s="45" t="s">
        <v>75</v>
      </c>
      <c r="D71" s="81"/>
      <c r="E71" s="47" t="str">
        <f>IF($C$18='Auto Responses'!$J$4,'Auto Responses'!$A$3,IF($C71='Auto Responses'!$J$3,VLOOKUP($A71,Questions!$A$2:$X$333,17,0)&amp;"",IF($C71='Auto Responses'!$J$4,VLOOKUP($A71,Questions!$A$2:$X$333,16,0)&amp;"",VLOOKUP($A71,Questions!$A$2:$X$333,15,0)&amp;"")))</f>
        <v xml:space="preserve">Based on the response to REQU-01 on the "START HERE" tab, this question does not apply to this product or service. </v>
      </c>
      <c r="F71" s="48" t="str">
        <f>VLOOKUP($A71,'Institution Evaluation'!$A$56:$F$345,6,0)&amp;""</f>
        <v/>
      </c>
      <c r="I71" s="7"/>
      <c r="J71" s="7"/>
    </row>
    <row r="72" spans="1:12" s="3" customFormat="1" ht="54" customHeight="1" x14ac:dyDescent="0.15">
      <c r="A72" s="36" t="s">
        <v>214</v>
      </c>
      <c r="B72" s="44" t="str">
        <f>VLOOKUP($A72,Questions!$A$2:$X$333,2,0)</f>
        <v>Have your systems and applications had a third-party security assessment completed in the last year?</v>
      </c>
      <c r="C72" s="45" t="s">
        <v>75</v>
      </c>
      <c r="D72" s="81"/>
      <c r="E72" s="47" t="str">
        <f>IF($C$18='Auto Responses'!$J$4,'Auto Responses'!$A$3,IF($C72='Auto Responses'!$J$3,VLOOKUP($A72,Questions!$A$2:$X$333,17,0)&amp;"",IF($C72='Auto Responses'!$J$4,VLOOKUP($A72,Questions!$A$2:$X$333,16,0)&amp;"",VLOOKUP($A72,Questions!$A$2:$X$333,15,0)&amp;"")))</f>
        <v xml:space="preserve">Based on the response to REQU-01 on the "START HERE" tab, this question does not apply to this product or service. </v>
      </c>
      <c r="F72" s="48" t="str">
        <f>VLOOKUP($A72,'Institution Evaluation'!$A$56:$F$345,6,0)&amp;""</f>
        <v/>
      </c>
      <c r="I72" s="7"/>
      <c r="J72" s="7"/>
    </row>
    <row r="73" spans="1:12" s="3" customFormat="1" ht="60" customHeight="1" x14ac:dyDescent="0.15">
      <c r="A73" s="36" t="s">
        <v>215</v>
      </c>
      <c r="B73" s="44" t="str">
        <f>VLOOKUP($A73,Questions!$A$2:$X$333,2,0)</f>
        <v>Do you regularly scan for common web application security vulnerabilities (e.g., SQL injection, XSS, XSRF, etc.)?</v>
      </c>
      <c r="C73" s="45" t="s">
        <v>75</v>
      </c>
      <c r="D73" s="81"/>
      <c r="E73" s="47" t="str">
        <f>IF($C$18='Auto Responses'!$J$4,'Auto Responses'!$A$3,IF($C73='Auto Responses'!$J$3,VLOOKUP($A73,Questions!$A$2:$X$333,17,0)&amp;"",IF($C73='Auto Responses'!$J$4,VLOOKUP($A73,Questions!$A$2:$X$333,16,0)&amp;"",VLOOKUP($A73,Questions!$A$2:$X$333,15,0)&amp;"")))</f>
        <v xml:space="preserve">Based on the response to REQU-01 on the "START HERE" tab, this question does not apply to this product or service. </v>
      </c>
      <c r="F73" s="48" t="str">
        <f>VLOOKUP($A73,'Institution Evaluation'!$A$56:$F$345,6,0)&amp;""</f>
        <v/>
      </c>
      <c r="I73" s="7"/>
      <c r="J73" s="7"/>
    </row>
    <row r="74" spans="1:12" s="3" customFormat="1" ht="56.25" customHeight="1" x14ac:dyDescent="0.15">
      <c r="A74" s="36" t="s">
        <v>216</v>
      </c>
      <c r="B74" s="44" t="str">
        <f>VLOOKUP($A74,Questions!$A$2:$X$333,2,0)</f>
        <v>Are your systems and applications regularly scanned externally for vulnerabilities?</v>
      </c>
      <c r="C74" s="45" t="s">
        <v>75</v>
      </c>
      <c r="D74" s="81"/>
      <c r="E74" s="47" t="str">
        <f>IF($C$18='Auto Responses'!$J$4,'Auto Responses'!$A$3,IF($C74='Auto Responses'!$J$3,VLOOKUP($A74,Questions!$A$2:$X$333,17,0)&amp;"",IF($C74='Auto Responses'!$J$4,VLOOKUP($A74,Questions!$A$2:$X$333,16,0)&amp;"",VLOOKUP($A74,Questions!$A$2:$X$333,15,0)&amp;"")))</f>
        <v xml:space="preserve">Based on the response to REQU-01 on the "START HERE" tab, this question does not apply to this product or service. </v>
      </c>
      <c r="F74" s="48" t="str">
        <f>VLOOKUP($A74,'Institution Evaluation'!$A$56:$F$345,6,0)&amp;""</f>
        <v/>
      </c>
      <c r="G74" s="62" t="s">
        <v>35</v>
      </c>
      <c r="H74" s="7"/>
    </row>
    <row r="75" spans="1:12" s="3" customFormat="1" ht="36.75" customHeight="1" x14ac:dyDescent="0.15">
      <c r="A75" s="63" t="s">
        <v>53</v>
      </c>
      <c r="B75" s="57"/>
      <c r="C75" s="58"/>
      <c r="D75" s="84"/>
      <c r="E75" s="60"/>
      <c r="F75" s="61"/>
      <c r="G75" s="62"/>
      <c r="H75" s="7"/>
    </row>
    <row r="76" spans="1:12" s="3" customFormat="1" ht="15" hidden="1" customHeight="1" x14ac:dyDescent="0.15">
      <c r="A76" s="61"/>
      <c r="C76" s="4"/>
      <c r="D76" s="5"/>
      <c r="E76" s="6"/>
      <c r="I76" s="7"/>
      <c r="J76" s="7"/>
    </row>
    <row r="77" spans="1:12" ht="15" hidden="1" customHeight="1" x14ac:dyDescent="0.15">
      <c r="A77" s="3"/>
      <c r="B77" s="4"/>
      <c r="C77" s="77"/>
      <c r="D77" s="6"/>
      <c r="E77" s="3"/>
      <c r="H77" s="7"/>
      <c r="I77" s="3"/>
      <c r="J77" s="3"/>
      <c r="L77" s="61"/>
    </row>
    <row r="78" spans="1:12" hidden="1" x14ac:dyDescent="0.15">
      <c r="A78" s="36" t="e">
        <f>#REF!</f>
        <v>#REF!</v>
      </c>
    </row>
    <row r="79" spans="1:12" hidden="1" x14ac:dyDescent="0.15">
      <c r="A79" s="36" t="e">
        <f>#REF!</f>
        <v>#REF!</v>
      </c>
    </row>
    <row r="80" spans="1:12" hidden="1" x14ac:dyDescent="0.15">
      <c r="A80" s="36" t="e">
        <f>#REF!</f>
        <v>#REF!</v>
      </c>
    </row>
    <row r="81" spans="1:1" hidden="1" x14ac:dyDescent="0.15">
      <c r="A81" s="36" t="e">
        <f>#REF!</f>
        <v>#REF!</v>
      </c>
    </row>
    <row r="82" spans="1:1" hidden="1" x14ac:dyDescent="0.15">
      <c r="A82" s="36" t="e">
        <f>#REF!</f>
        <v>#REF!</v>
      </c>
    </row>
    <row r="83" spans="1:1" hidden="1" x14ac:dyDescent="0.15">
      <c r="A83" s="36" t="e">
        <f>#REF!</f>
        <v>#REF!</v>
      </c>
    </row>
    <row r="84" spans="1:1" hidden="1" x14ac:dyDescent="0.15">
      <c r="A84" s="36" t="e">
        <f>#REF!</f>
        <v>#REF!</v>
      </c>
    </row>
  </sheetData>
  <dataValidations count="3">
    <dataValidation allowBlank="1" showInputMessage="1" showErrorMessage="1" promptTitle="Warning!" prompt="The HECVAT is built using a number of complex formulas. Editing this cell can break the functionality of the tool. " sqref="B2:F2 A3:B75 D3:F3 C4:F12 C17:F17 E18:F18 C19:F19 E20:F33 C34:F34 E35:F50 C51:F51 E52:F62 C63:F63 E64:F67 C68:F68 E69:F74" xr:uid="{00000000-0002-0000-0300-000000000000}">
      <formula1>0</formula1>
      <formula2>0</formula2>
    </dataValidation>
    <dataValidation allowBlank="1" showInputMessage="1" showErrorMessage="1" prompt="This cell should be left blank. Input your answer in column C." sqref="D61" xr:uid="{00000000-0002-0000-0300-000001000000}">
      <formula1>0</formula1>
      <formula2>0</formula2>
    </dataValidation>
    <dataValidation allowBlank="1" showInputMessage="1" showErrorMessage="1" prompt="This answer has been populated from the &quot;START HERE&quot; tab and does not need to be re-entered." sqref="C3 C13:C16 C18" xr:uid="{00000000-0002-0000-0300-000002000000}">
      <formula1>0</formula1>
      <formula2>0</formula2>
    </dataValidation>
  </dataValidations>
  <hyperlinks>
    <hyperlink ref="A11" r:id="rId1" display="http://www.educause.edu/HECVAT"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636C"/>
  </sheetPr>
  <dimension ref="A1:L47"/>
  <sheetViews>
    <sheetView showGridLines="0" topLeftCell="A34" workbookViewId="0">
      <selection activeCell="D31" sqref="D31"/>
    </sheetView>
  </sheetViews>
  <sheetFormatPr baseColWidth="10" defaultColWidth="0" defaultRowHeight="16" x14ac:dyDescent="0.2"/>
  <cols>
    <col min="1" max="1" width="8.25" style="2" customWidth="1"/>
    <col min="2" max="2" width="55.125" style="3" customWidth="1"/>
    <col min="3" max="3" width="18.875" style="4" customWidth="1"/>
    <col min="4" max="4" width="55.625" style="5" customWidth="1"/>
    <col min="5" max="5" width="32" style="6" customWidth="1"/>
    <col min="6" max="6" width="30.625" style="3" customWidth="1"/>
    <col min="7" max="7" width="18" style="3" customWidth="1"/>
    <col min="8" max="8" width="18" style="3" hidden="1" customWidth="1"/>
    <col min="9" max="10" width="18" style="7" hidden="1" customWidth="1"/>
    <col min="11" max="11" width="4.5" style="3" hidden="1" customWidth="1"/>
    <col min="12" max="12" width="6.625" style="3" hidden="1"/>
    <col min="13" max="16384" width="6.625" style="2" hidden="1"/>
  </cols>
  <sheetData>
    <row r="1" spans="1:10" ht="221" hidden="1" x14ac:dyDescent="0.2">
      <c r="A1" t="s">
        <v>0</v>
      </c>
    </row>
    <row r="2" spans="1:10" ht="36" customHeight="1" x14ac:dyDescent="0.2">
      <c r="A2" s="8" t="s">
        <v>217</v>
      </c>
      <c r="B2" s="8"/>
      <c r="C2" s="9"/>
      <c r="D2" s="10"/>
      <c r="E2" s="11"/>
      <c r="F2" s="11" t="str">
        <f>'Auto Responses'!$A$36</f>
        <v>Version 4.1.6</v>
      </c>
      <c r="J2" s="3"/>
    </row>
    <row r="3" spans="1:10" s="3" customFormat="1" ht="28.5" customHeight="1" x14ac:dyDescent="0.15">
      <c r="A3" s="12" t="s">
        <v>2</v>
      </c>
      <c r="B3" s="13">
        <v>46282</v>
      </c>
      <c r="C3" s="64">
        <f>'START HERE'!$C$3</f>
        <v>0</v>
      </c>
      <c r="D3" s="15"/>
      <c r="E3" s="16"/>
      <c r="F3" s="17"/>
      <c r="I3" s="7"/>
    </row>
    <row r="4" spans="1:10" s="3" customFormat="1" ht="36" customHeight="1" x14ac:dyDescent="0.15">
      <c r="A4" s="18" t="s">
        <v>3</v>
      </c>
      <c r="B4" s="19"/>
      <c r="C4" s="20"/>
      <c r="D4" s="21"/>
      <c r="E4" s="22"/>
      <c r="F4" s="22"/>
      <c r="I4" s="7"/>
    </row>
    <row r="5" spans="1:10"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10"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10"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10" s="3" customFormat="1" ht="19.5" customHeight="1" x14ac:dyDescent="0.15">
      <c r="A8" s="23" t="str">
        <f>HLOOKUP($A$4,'Auto Responses'!$D$2:$D$8,5,0)&amp;""</f>
        <v>4. DO NOT complete any fields in the "Evaluation" sheets or the "Analyst Notes" column.</v>
      </c>
      <c r="B8" s="24"/>
      <c r="C8" s="25"/>
      <c r="D8" s="26"/>
      <c r="E8" s="24"/>
      <c r="F8" s="28"/>
      <c r="I8" s="7"/>
    </row>
    <row r="9" spans="1:10" s="3" customFormat="1" ht="19.5" customHeight="1" x14ac:dyDescent="0.15">
      <c r="A9" s="23" t="str">
        <f>HLOOKUP($A$4,'Auto Responses'!$D$2:$D$8,6,0)&amp;""</f>
        <v>5. Return the completed file to institutions.</v>
      </c>
      <c r="B9" s="24"/>
      <c r="C9" s="25"/>
      <c r="D9" s="26"/>
      <c r="E9" s="24"/>
      <c r="F9" s="28"/>
      <c r="I9" s="7"/>
    </row>
    <row r="10" spans="1:10"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10" s="3" customFormat="1" ht="19.5" customHeight="1" x14ac:dyDescent="0.15">
      <c r="A11" s="30" t="str">
        <f>HLOOKUP($A$4,'Auto Responses'!$D$2:$D$9,8,0)&amp;""</f>
        <v>For full instructions, please visit educause.edu/HECVAT</v>
      </c>
      <c r="B11" s="24"/>
      <c r="C11" s="25"/>
      <c r="D11" s="26"/>
      <c r="E11" s="24"/>
      <c r="F11" s="31"/>
      <c r="I11" s="7"/>
    </row>
    <row r="12" spans="1:10" s="3" customFormat="1" ht="36" customHeight="1" x14ac:dyDescent="0.15">
      <c r="A12" s="32" t="str">
        <f>VLOOKUP(LEFT($A13,4),'Auto Responses'!$N$4:$O$38,2,0)&amp;""</f>
        <v xml:space="preserve"> General Information</v>
      </c>
      <c r="B12" s="19"/>
      <c r="C12" s="20" t="s">
        <v>21</v>
      </c>
      <c r="D12" s="34"/>
      <c r="E12" s="35"/>
      <c r="F12" s="35"/>
      <c r="I12" s="7"/>
      <c r="J12" s="7"/>
    </row>
    <row r="13" spans="1:10" s="3" customFormat="1" ht="21.75" customHeight="1" x14ac:dyDescent="0.15">
      <c r="A13" s="36" t="s">
        <v>4</v>
      </c>
      <c r="B13" s="37" t="str">
        <f>VLOOKUP($A13,Questions!$A$2:$X$333,2,0)&amp;""</f>
        <v>Solution Provider Name</v>
      </c>
      <c r="C13" s="38" t="str">
        <f>VLOOKUP($A13,'START HERE'!$A$13:$C$21,3,0)&amp;""</f>
        <v>SmartPLS GmbH</v>
      </c>
      <c r="D13" s="39"/>
      <c r="E13" s="39"/>
      <c r="F13" s="17"/>
      <c r="I13" s="7"/>
      <c r="J13" s="7"/>
    </row>
    <row r="14" spans="1:10" s="3" customFormat="1" ht="21.75" customHeight="1" x14ac:dyDescent="0.15">
      <c r="A14" s="36" t="s">
        <v>6</v>
      </c>
      <c r="B14" s="37" t="str">
        <f>VLOOKUP($A14,Questions!$A$2:$X$333,2,0)&amp;""</f>
        <v>Solution Name</v>
      </c>
      <c r="C14" s="38" t="str">
        <f>VLOOKUP($A14,'START HERE'!$A$13:$C$21,3,0)&amp;""</f>
        <v>SmartPLS 4.1.1.9 (SmartPLS Desktop)</v>
      </c>
      <c r="D14" s="39"/>
      <c r="E14" s="39"/>
      <c r="F14" s="17"/>
      <c r="I14" s="7"/>
      <c r="J14" s="7"/>
    </row>
    <row r="15" spans="1:10" s="3" customFormat="1" ht="21.75" customHeight="1" x14ac:dyDescent="0.15">
      <c r="A15" s="36" t="s">
        <v>7</v>
      </c>
      <c r="B15" s="37"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39"/>
      <c r="E15" s="39"/>
      <c r="F15" s="17"/>
      <c r="I15" s="7"/>
      <c r="J15" s="7"/>
    </row>
    <row r="16" spans="1:10" s="3" customFormat="1" ht="21.75" customHeight="1" x14ac:dyDescent="0.15">
      <c r="A16" s="36" t="s">
        <v>17</v>
      </c>
      <c r="B16" s="37" t="str">
        <f>VLOOKUP($A16,Questions!$A$2:$X$333,2,0)&amp;""</f>
        <v>Country of Company Headquarters</v>
      </c>
      <c r="C16" s="38" t="str">
        <f>VLOOKUP($A16,'START HERE'!$A$13:$C$21,3,0)&amp;""</f>
        <v>Germany</v>
      </c>
      <c r="D16" s="39"/>
      <c r="E16" s="39"/>
      <c r="F16" s="17"/>
      <c r="I16" s="7"/>
      <c r="J16" s="7"/>
    </row>
    <row r="17" spans="1:10" s="3" customFormat="1" ht="36.75" customHeight="1" x14ac:dyDescent="0.15">
      <c r="A17" s="32" t="str">
        <f>VLOOKUP(LEFT($A18,4),'Auto Responses'!$N$4:$O$38,2,0)&amp;""</f>
        <v xml:space="preserve"> Required Questions</v>
      </c>
      <c r="B17" s="41"/>
      <c r="C17" s="20" t="s">
        <v>21</v>
      </c>
      <c r="D17" s="20"/>
      <c r="E17" s="42" t="s">
        <v>23</v>
      </c>
      <c r="F17" s="53" t="s">
        <v>24</v>
      </c>
      <c r="I17" s="7"/>
      <c r="J17" s="7"/>
    </row>
    <row r="18" spans="1:10" s="3" customFormat="1" ht="54" customHeight="1" x14ac:dyDescent="0.15">
      <c r="A18" s="36" t="s">
        <v>38</v>
      </c>
      <c r="B18" s="44" t="str">
        <f>VLOOKUP($A18,Questions!$A$2:$X$333,2,0)</f>
        <v>Does your product or service have an interface?</v>
      </c>
      <c r="C18" s="74" t="str">
        <f>VLOOKUP($A18,'START HERE'!$A$23:$F$36,3,0)&amp;""</f>
        <v>Yes</v>
      </c>
      <c r="D18" s="75" t="str">
        <f>VLOOKUP($A18,'START HERE'!$A$23:$F$36,4,0)&amp;""</f>
        <v>SmartPLS Desktop has a graphical user interface.</v>
      </c>
      <c r="E18" s="47" t="str">
        <f>IF($C18='Auto Responses'!$J$3,VLOOKUP($A18,Questions!$A$2:$X$333,17,0)&amp;"",IF($C18='Auto Responses'!$J$4,VLOOKUP($A18,Questions!$A$2:$X$333,16,0)&amp;"",VLOOKUP($A18,Questions!$A$2:$X$333,15,0)&amp;""))</f>
        <v>DO complete the IT Accessibility worksheet.</v>
      </c>
      <c r="F18" s="48" t="str">
        <f>VLOOKUP($A18,'Institution Evaluation'!$A$56:$F$345,6,0)&amp;""</f>
        <v/>
      </c>
      <c r="G18" s="62" t="s">
        <v>35</v>
      </c>
      <c r="I18" s="7"/>
      <c r="J18" s="7"/>
    </row>
    <row r="19" spans="1:10" s="3" customFormat="1" ht="36.75" customHeight="1" x14ac:dyDescent="0.15">
      <c r="A19" s="32" t="str">
        <f>VLOOKUP(LEFT($A20,4),'Auto Responses'!$N$4:$O$38,2,0)&amp;""</f>
        <v xml:space="preserve"> IT Accessibility</v>
      </c>
      <c r="B19" s="41"/>
      <c r="C19" s="20" t="s">
        <v>21</v>
      </c>
      <c r="D19" s="20" t="s">
        <v>22</v>
      </c>
      <c r="E19" s="42" t="s">
        <v>23</v>
      </c>
      <c r="F19" s="53" t="s">
        <v>24</v>
      </c>
      <c r="I19" s="7"/>
      <c r="J19" s="7"/>
    </row>
    <row r="20" spans="1:10" s="3" customFormat="1" ht="15" customHeight="1" x14ac:dyDescent="0.15">
      <c r="A20" s="36" t="s">
        <v>218</v>
      </c>
      <c r="B20" s="44" t="str">
        <f>VLOOKUP($A20,Questions!$A$2:$X$333,2,0)</f>
        <v>Solution Provider Accessibility Contact Name</v>
      </c>
      <c r="C20" s="85" t="s">
        <v>10</v>
      </c>
      <c r="D20" s="46"/>
      <c r="E20" s="47" t="str">
        <f>IF($C$18='Auto Responses'!$J$4,'Auto Responses'!$A$4,IF($C20='Auto Responses'!$J$3,VLOOKUP($A20,Questions!$A$2:$X$333,17,0)&amp;"",IF($C20='Auto Responses'!$J$4,VLOOKUP($A20,Questions!$A$2:$X$333,16,0)&amp;"",VLOOKUP($A20,Questions!$A$2:$X$333,15,0)&amp;"")))</f>
        <v/>
      </c>
      <c r="F20" s="48" t="str">
        <f>VLOOKUP($A20,'Institution Evaluation'!$A$56:$F$345,6,0)&amp;""</f>
        <v/>
      </c>
      <c r="I20" s="7"/>
      <c r="J20" s="7"/>
    </row>
    <row r="21" spans="1:10" s="3" customFormat="1" ht="30" customHeight="1" x14ac:dyDescent="0.15">
      <c r="A21" s="36" t="s">
        <v>219</v>
      </c>
      <c r="B21" s="44" t="str">
        <f>VLOOKUP($A21,Questions!$A$2:$X$333,2,0)</f>
        <v>Solution Provider Accessibility Contact Title</v>
      </c>
      <c r="C21" s="85" t="s">
        <v>12</v>
      </c>
      <c r="D21" s="46"/>
      <c r="E21" s="47" t="str">
        <f>IF($C$18='Auto Responses'!$J$4,'Auto Responses'!$A$4,IF($C21='Auto Responses'!$J$3,VLOOKUP($A21,Questions!$A$2:$X$333,17,0)&amp;"",IF($C21='Auto Responses'!$J$4,VLOOKUP($A21,Questions!$A$2:$X$333,16,0)&amp;"",VLOOKUP($A21,Questions!$A$2:$X$333,15,0)&amp;"")))</f>
        <v/>
      </c>
      <c r="F21" s="48" t="str">
        <f>VLOOKUP($A21,'Institution Evaluation'!$A$56:$F$345,6,0)&amp;""</f>
        <v/>
      </c>
      <c r="I21" s="7"/>
      <c r="J21" s="7"/>
    </row>
    <row r="22" spans="1:10" s="3" customFormat="1" ht="30" customHeight="1" x14ac:dyDescent="0.15">
      <c r="A22" s="36" t="s">
        <v>220</v>
      </c>
      <c r="B22" s="44" t="str">
        <f>VLOOKUP($A22,Questions!$A$2:$X$333,2,0)</f>
        <v>Solution Provider Accessibility Contact Email</v>
      </c>
      <c r="C22" s="85" t="s">
        <v>14</v>
      </c>
      <c r="D22" s="46"/>
      <c r="E22" s="47" t="str">
        <f>IF($C$18='Auto Responses'!$J$4,'Auto Responses'!$A$4,IF($C22='Auto Responses'!$J$3,VLOOKUP($A22,Questions!$A$2:$X$333,17,0)&amp;"",IF($C22='Auto Responses'!$J$4,VLOOKUP($A22,Questions!$A$2:$X$333,16,0)&amp;"",VLOOKUP($A22,Questions!$A$2:$X$333,15,0)&amp;"")))</f>
        <v/>
      </c>
      <c r="F22" s="48" t="str">
        <f>VLOOKUP($A22,'Institution Evaluation'!$A$56:$F$345,6,0)&amp;""</f>
        <v/>
      </c>
      <c r="I22" s="7"/>
      <c r="J22" s="7"/>
    </row>
    <row r="23" spans="1:10" s="3" customFormat="1" ht="30" customHeight="1" x14ac:dyDescent="0.15">
      <c r="A23" s="36" t="s">
        <v>221</v>
      </c>
      <c r="B23" s="44" t="str">
        <f>VLOOKUP($A23,Questions!$A$2:$X$333,2,0)</f>
        <v>Solution Provider Accessibility Contact Phone Number</v>
      </c>
      <c r="C23" s="85" t="s">
        <v>222</v>
      </c>
      <c r="D23" s="46"/>
      <c r="E23" s="47" t="str">
        <f>IF($C$18='Auto Responses'!$J$4,'Auto Responses'!$A$4,IF($C23='Auto Responses'!$J$3,VLOOKUP($A23,Questions!$A$2:$X$333,17,0)&amp;"",IF($C23='Auto Responses'!$J$4,VLOOKUP($A23,Questions!$A$2:$X$333,16,0)&amp;"",VLOOKUP($A23,Questions!$A$2:$X$333,15,0)&amp;"")))</f>
        <v/>
      </c>
      <c r="F23" s="48" t="str">
        <f>VLOOKUP($A23,'Institution Evaluation'!$A$56:$F$345,6,0)&amp;""</f>
        <v/>
      </c>
      <c r="I23" s="7"/>
      <c r="J23" s="7"/>
    </row>
    <row r="24" spans="1:10" s="3" customFormat="1" ht="30" customHeight="1" x14ac:dyDescent="0.15">
      <c r="A24" s="36" t="s">
        <v>223</v>
      </c>
      <c r="B24" s="44" t="str">
        <f>VLOOKUP($A24,Questions!$A$2:$X$333,2,0)</f>
        <v>Web Link to Accessibility Statement or VPAT</v>
      </c>
      <c r="C24" s="85" t="s">
        <v>224</v>
      </c>
      <c r="D24" s="46"/>
      <c r="E24" s="47" t="str">
        <f>IF($C$18='Auto Responses'!$J$4,'Auto Responses'!$A$4,IF($C24='Auto Responses'!$J$3,VLOOKUP($A24,Questions!$A$2:$X$333,17,0)&amp;"",IF($C24='Auto Responses'!$J$4,VLOOKUP($A24,Questions!$A$2:$X$333,16,0)&amp;"",VLOOKUP($A24,Questions!$A$2:$X$333,15,0)&amp;"")))</f>
        <v>VPAT can also be added as an attachment</v>
      </c>
      <c r="F24" s="48" t="str">
        <f>VLOOKUP($A24,'Institution Evaluation'!$A$56:$F$345,6,0)&amp;""</f>
        <v/>
      </c>
      <c r="I24" s="7"/>
      <c r="J24" s="7"/>
    </row>
    <row r="25" spans="1:10" s="3" customFormat="1" ht="136.5" customHeight="1" x14ac:dyDescent="0.15">
      <c r="A25" s="36" t="s">
        <v>225</v>
      </c>
      <c r="B25" s="44" t="str">
        <f>VLOOKUP($A25,Questions!$A$2:$X$333,2,0)</f>
        <v>Has a VPAT or ACR been created or updated for the solution and version under consideration within the past 12 months?*</v>
      </c>
      <c r="C25" s="45" t="s">
        <v>30</v>
      </c>
      <c r="D25" s="46" t="s">
        <v>1993</v>
      </c>
      <c r="E25" s="47" t="str">
        <f>IF($C$18='Auto Responses'!$J$4,'Auto Responses'!$A$4,IF($C25='Auto Responses'!$J$3,VLOOKUP($A25,Questions!$A$2:$X$333,17,0)&amp;"",IF($C25='Auto Responses'!$J$4,VLOOKUP($A25,Questions!$A$2:$X$333,16,0)&amp;"",VLOOKUP($A25,Questions!$A$2:$X$333,15,0)&amp;"")))</f>
        <v>State the date the VPAT was completed. Include this VPAT in your submission and/or link to its web location.</v>
      </c>
      <c r="F25" s="48" t="str">
        <f>VLOOKUP($A25,'Institution Evaluation'!$A$56:$F$345,6,0)&amp;""</f>
        <v/>
      </c>
      <c r="I25" s="7"/>
      <c r="J25" s="7"/>
    </row>
    <row r="26" spans="1:10" s="3" customFormat="1" ht="82.5" customHeight="1" x14ac:dyDescent="0.15">
      <c r="A26" s="36" t="s">
        <v>226</v>
      </c>
      <c r="B26" s="44" t="str">
        <f>VLOOKUP($A26,Questions!$A$2:$X$333,2,0)</f>
        <v>Will your company agree to meet your stated accessibility standard or WCAG 2.1 AA as part of your contractual agreement for the solution?*</v>
      </c>
      <c r="C26" s="45" t="s">
        <v>26</v>
      </c>
      <c r="D26" s="46" t="s">
        <v>1983</v>
      </c>
      <c r="E26" s="47" t="str">
        <f>IF($C$18='Auto Responses'!$J$4,'Auto Responses'!$A$4,IF($C26='Auto Responses'!$J$3,VLOOKUP($A26,Questions!$A$2:$X$333,17,0)&amp;"",IF($C26='Auto Responses'!$J$4,VLOOKUP($A26,Questions!$A$2:$X$333,16,0)&amp;"",VLOOKUP($A26,Questions!$A$2:$X$333,15,0)&amp;"")))</f>
        <v/>
      </c>
      <c r="F26" s="48" t="str">
        <f>VLOOKUP($A26,'Institution Evaluation'!$A$56:$F$345,6,0)&amp;""</f>
        <v/>
      </c>
      <c r="I26" s="7"/>
      <c r="J26" s="7"/>
    </row>
    <row r="27" spans="1:10" s="3" customFormat="1" ht="161.25" customHeight="1" x14ac:dyDescent="0.15">
      <c r="A27" s="36" t="s">
        <v>227</v>
      </c>
      <c r="B27" s="44" t="str">
        <f>VLOOKUP($A27,Questions!$A$2:$X$333,2,0)</f>
        <v>Does the solution substantially conform to WCAG 2.1 AA?*</v>
      </c>
      <c r="C27" s="45" t="s">
        <v>26</v>
      </c>
      <c r="D27" s="46" t="s">
        <v>1984</v>
      </c>
      <c r="E27" s="47" t="str">
        <f>IF($C$18='Auto Responses'!$J$4,'Auto Responses'!$A$4,IF($C27='Auto Responses'!$J$3,VLOOKUP($A27,Questions!$A$2:$X$333,17,0)&amp;"",IF($C27='Auto Responses'!$J$4,VLOOKUP($A27,Questions!$A$2:$X$333,16,0)&amp;"",VLOOKUP($A27,Questions!$A$2:$X$333,15,0)&amp;"")))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48" t="str">
        <f>VLOOKUP($A27,'Institution Evaluation'!$A$56:$F$345,6,0)&amp;""</f>
        <v/>
      </c>
      <c r="I27" s="7"/>
      <c r="J27" s="7"/>
    </row>
    <row r="28" spans="1:10" s="3" customFormat="1" ht="104.25" customHeight="1" x14ac:dyDescent="0.15">
      <c r="A28" s="36" t="s">
        <v>228</v>
      </c>
      <c r="B28" s="44" t="str">
        <f>VLOOKUP($A28,Questions!$A$2:$X$333,2,0)</f>
        <v>Do you have a documented and implemented process for reporting and tracking accessibility issues?*</v>
      </c>
      <c r="C28" s="45" t="s">
        <v>30</v>
      </c>
      <c r="D28" s="46" t="s">
        <v>1985</v>
      </c>
      <c r="E28" s="47" t="str">
        <f>IF($C$18='Auto Responses'!$J$4,'Auto Responses'!$A$4,IF($C28='Auto Responses'!$J$3,VLOOKUP($A28,Questions!$A$2:$X$333,17,0)&amp;"",IF($C28='Auto Responses'!$J$4,VLOOKUP($A28,Questions!$A$2:$X$333,16,0)&amp;"",VLOOKUP($A28,Questions!$A$2:$X$333,15,0)&amp;"")))</f>
        <v>Describe the process and any recent examples of fixes as a result of the process.</v>
      </c>
      <c r="F28" s="48" t="str">
        <f>VLOOKUP($A28,'Institution Evaluation'!$A$56:$F$345,6,0)&amp;""</f>
        <v/>
      </c>
      <c r="I28" s="7"/>
      <c r="J28" s="7"/>
    </row>
    <row r="29" spans="1:10" s="3" customFormat="1" ht="104.25" customHeight="1" x14ac:dyDescent="0.15">
      <c r="A29" s="36" t="s">
        <v>229</v>
      </c>
      <c r="B29" s="44" t="str">
        <f>VLOOKUP($A29,Questions!$A$2:$X$333,2,0)</f>
        <v>Do you have documentation to support the accessibility features of your solution?</v>
      </c>
      <c r="C29" s="45" t="s">
        <v>30</v>
      </c>
      <c r="D29" s="46" t="s">
        <v>1994</v>
      </c>
      <c r="E29" s="47" t="str">
        <f>IF($C$18='Auto Responses'!$J$4,'Auto Responses'!$A$4,IF($C29='Auto Responses'!$J$3,VLOOKUP($A29,Questions!$A$2:$X$333,17,0)&amp;"",IF($C29='Auto Responses'!$J$4,VLOOKUP($A29,Questions!$A$2:$X$333,16,0)&amp;"",VLOOKUP($A29,Questions!$A$2:$X$333,15,0)&amp;"")))</f>
        <v>Provide examples with links where possible.</v>
      </c>
      <c r="F29" s="48" t="str">
        <f>VLOOKUP($A29,'Institution Evaluation'!$A$56:$F$345,6,0)&amp;""</f>
        <v/>
      </c>
      <c r="I29" s="7"/>
      <c r="J29" s="7"/>
    </row>
    <row r="30" spans="1:10" s="3" customFormat="1" ht="93.75" customHeight="1" x14ac:dyDescent="0.15">
      <c r="A30" s="36" t="s">
        <v>230</v>
      </c>
      <c r="B30" s="44" t="str">
        <f>VLOOKUP($A30,Questions!$A$2:$X$333,2,0)</f>
        <v>Has a third-party expert conducted an audit of the most recent version of your solution?</v>
      </c>
      <c r="C30" s="45" t="s">
        <v>26</v>
      </c>
      <c r="D30" s="46" t="s">
        <v>1986</v>
      </c>
      <c r="E30" s="47" t="str">
        <f>IF($C$18='Auto Responses'!$J$4,'Auto Responses'!$A$4,IF($C30='Auto Responses'!$J$3,VLOOKUP($A30,Questions!$A$2:$X$333,17,0)&amp;"",IF($C30='Auto Responses'!$J$4,VLOOKUP($A30,Questions!$A$2:$X$333,16,0)&amp;"",VLOOKUP($A30,Questions!$A$2:$X$333,15,0)&amp;"")))</f>
        <v>Please provide plans (when and by whom) of any planned audit, or a rationale if no third-party audit is planned.</v>
      </c>
      <c r="F30" s="48" t="str">
        <f>VLOOKUP($A30,'Institution Evaluation'!$A$56:$F$345,6,0)&amp;""</f>
        <v/>
      </c>
      <c r="I30" s="7"/>
      <c r="J30" s="7"/>
    </row>
    <row r="31" spans="1:10" s="3" customFormat="1" ht="120" customHeight="1" x14ac:dyDescent="0.15">
      <c r="A31" s="36" t="s">
        <v>231</v>
      </c>
      <c r="B31" s="44" t="str">
        <f>VLOOKUP($A31,Questions!$A$2:$X$333,2,0)</f>
        <v>Do you have a documented and implemented process for verifying accessibility conformance?</v>
      </c>
      <c r="C31" s="45" t="s">
        <v>30</v>
      </c>
      <c r="D31" s="46" t="s">
        <v>1987</v>
      </c>
      <c r="E31" s="47" t="str">
        <f>IF($C$18='Auto Responses'!$J$4,'Auto Responses'!$A$4,IF($C31='Auto Responses'!$J$3,VLOOKUP($A31,Questions!$A$2:$X$333,17,0)&amp;"",IF($C31='Auto Responses'!$J$4,VLOOKUP($A31,Questions!$A$2:$X$333,16,0)&amp;"",VLOOKUP($A31,Questions!$A$2:$X$333,15,0)&amp;"")))</f>
        <v>Describe your processes and methodologies for validating accessibility conformance.</v>
      </c>
      <c r="F31" s="48" t="str">
        <f>VLOOKUP($A31,'Institution Evaluation'!$A$56:$F$345,6,0)&amp;""</f>
        <v/>
      </c>
      <c r="I31" s="7"/>
      <c r="J31" s="7"/>
    </row>
    <row r="32" spans="1:10" s="3" customFormat="1" ht="108" customHeight="1" x14ac:dyDescent="0.15">
      <c r="A32" s="36" t="s">
        <v>232</v>
      </c>
      <c r="B32" s="44" t="str">
        <f>VLOOKUP($A32,Questions!$A$2:$X$333,2,0)</f>
        <v>Have you adopted a technical or legal standard of conformance for the solution?</v>
      </c>
      <c r="C32" s="45" t="s">
        <v>26</v>
      </c>
      <c r="D32" s="46" t="s">
        <v>1988</v>
      </c>
      <c r="E32" s="47" t="str">
        <f>IF($C$18='Auto Responses'!$J$4,'Auto Responses'!$A$4,IF($C32='Auto Responses'!$J$3,VLOOKUP($A32,Questions!$A$2:$X$333,17,0)&amp;"",IF($C32='Auto Responses'!$J$4,VLOOKUP($A32,Questions!$A$2:$X$333,16,0)&amp;"",VLOOKUP($A32,Questions!$A$2:$X$333,15,0)&amp;"")))</f>
        <v>Summarize your decision to not adopt a technical or legal standard of conformance for the solution.</v>
      </c>
      <c r="F32" s="48" t="str">
        <f>VLOOKUP($A32,'Institution Evaluation'!$A$56:$F$345,6,0)&amp;""</f>
        <v/>
      </c>
      <c r="I32" s="7"/>
      <c r="J32" s="7"/>
    </row>
    <row r="33" spans="1:12" s="3" customFormat="1" ht="228" customHeight="1" x14ac:dyDescent="0.15">
      <c r="A33" s="36" t="s">
        <v>233</v>
      </c>
      <c r="B33" s="44" t="str">
        <f>VLOOKUP($A33,Questions!$A$2:$X$333,2,0)</f>
        <v>Can you provide a current, detailed accessibility roadmap with delivery timelines?</v>
      </c>
      <c r="C33" s="45" t="s">
        <v>26</v>
      </c>
      <c r="D33" s="46" t="s">
        <v>1989</v>
      </c>
      <c r="E33" s="47" t="str">
        <f>IF($C$18='Auto Responses'!$J$4,'Auto Responses'!$A$4,IF($C33='Auto Responses'!$J$3,VLOOKUP($A33,Questions!$A$2:$X$333,17,0)&amp;"",IF($C33='Auto Responses'!$J$4,VLOOKUP($A33,Questions!$A$2:$X$333,16,0)&amp;"",VLOOKUP($A33,Questions!$A$2:$X$333,15,0)&amp;"")))</f>
        <v>Please provide any plans to develop and share an accessibility roadmap in the future.</v>
      </c>
      <c r="F33" s="48" t="str">
        <f>VLOOKUP($A33,'Institution Evaluation'!$A$56:$F$345,6,0)&amp;""</f>
        <v/>
      </c>
      <c r="I33" s="7"/>
      <c r="J33" s="7"/>
    </row>
    <row r="34" spans="1:12" s="3" customFormat="1" ht="213" customHeight="1" x14ac:dyDescent="0.15">
      <c r="A34" s="36" t="s">
        <v>234</v>
      </c>
      <c r="B34" s="44" t="str">
        <f>VLOOKUP($A34,Questions!$A$2:$X$333,2,0)</f>
        <v>Do you expect your staff to maintain a current skill set in IT accessibility?</v>
      </c>
      <c r="C34" s="45" t="s">
        <v>30</v>
      </c>
      <c r="D34" s="46" t="s">
        <v>1990</v>
      </c>
      <c r="E34" s="47" t="str">
        <f>IF($C$18='Auto Responses'!$J$4,'Auto Responses'!$A$4,IF($C34='Auto Responses'!$J$3,VLOOKUP($A34,Questions!$A$2:$X$333,17,0)&amp;"",IF($C34='Auto Responses'!$J$4,VLOOKUP($A34,Questions!$A$2:$X$333,16,0)&amp;"",VLOOKUP($A34,Questions!$A$2:$X$333,15,0)&amp;"")))</f>
        <v>Provide any further relevant information about how expertise is maintained; include any accessibility certifications staff may hold (e.g., IAAP WAS &lt;https://www.accessibilityassociation.org/certifications&gt; or DHS Trusted Tester &lt;https://section508.gov/test/trusted-tester&gt;).</v>
      </c>
      <c r="F34" s="48" t="str">
        <f>VLOOKUP($A34,'Institution Evaluation'!$A$56:$F$345,6,0)&amp;""</f>
        <v/>
      </c>
      <c r="I34" s="7"/>
      <c r="J34" s="7"/>
    </row>
    <row r="35" spans="1:12" s="3" customFormat="1" ht="213" customHeight="1" x14ac:dyDescent="0.15">
      <c r="A35" s="36" t="s">
        <v>235</v>
      </c>
      <c r="B35" s="44" t="str">
        <f>VLOOKUP($A35,Questions!$A$2:$X$333,2,0)</f>
        <v>Do you have documented processes and procedures for implementing accessibility into your development lifecycle?</v>
      </c>
      <c r="C35" s="45" t="s">
        <v>26</v>
      </c>
      <c r="D35" s="46" t="s">
        <v>1991</v>
      </c>
      <c r="E35" s="47" t="str">
        <f>IF($C$18='Auto Responses'!$J$4,'Auto Responses'!$A$4,IF($C35='Auto Responses'!$J$3,VLOOKUP($A35,Questions!$A$2:$X$333,17,0)&amp;"",IF($C35='Auto Responses'!$J$4,VLOOKUP($A35,Questions!$A$2:$X$333,16,0)&amp;"",VLOOKUP($A35,Questions!$A$2:$X$333,15,0)&amp;"")))</f>
        <v>Describe any plans to update processes and procedures to better incorporate accessibility.</v>
      </c>
      <c r="F35" s="48" t="str">
        <f>VLOOKUP($A35,'Institution Evaluation'!$A$56:$F$345,6,0)&amp;""</f>
        <v/>
      </c>
      <c r="I35" s="7"/>
      <c r="J35" s="7"/>
    </row>
    <row r="36" spans="1:12" s="3" customFormat="1" ht="38.25" customHeight="1" x14ac:dyDescent="0.15">
      <c r="A36" s="36" t="s">
        <v>236</v>
      </c>
      <c r="B36" s="44" t="str">
        <f>VLOOKUP($A36,Questions!$A$2:$X$333,2,0)</f>
        <v>Can all functions of the application or service be performed using only the keyboard?</v>
      </c>
      <c r="C36" s="45" t="s">
        <v>26</v>
      </c>
      <c r="D36" s="46" t="s">
        <v>1992</v>
      </c>
      <c r="E36" s="47" t="str">
        <f>IF($C$18='Auto Responses'!$J$4,'Auto Responses'!$A$4,IF($C36='Auto Responses'!$J$3,VLOOKUP($A36,Questions!$A$2:$X$333,17,0)&amp;"",IF($C36='Auto Responses'!$J$4,VLOOKUP($A36,Questions!$A$2:$X$333,16,0)&amp;"",VLOOKUP($A36,Questions!$A$2:$X$333,15,0)&amp;"")))</f>
        <v>Indicate a plan to test the solution; develop a roadmap for keyboard accessibility or any further context.</v>
      </c>
      <c r="F36" s="48" t="str">
        <f>VLOOKUP($A36,'Institution Evaluation'!$A$56:$F$345,6,0)&amp;""</f>
        <v/>
      </c>
      <c r="I36" s="7"/>
      <c r="J36" s="7"/>
    </row>
    <row r="37" spans="1:12" s="3" customFormat="1" ht="127.5" customHeight="1" x14ac:dyDescent="0.15">
      <c r="A37" s="36" t="s">
        <v>237</v>
      </c>
      <c r="B37" s="44" t="str">
        <f>VLOOKUP($A37,Questions!$A$2:$X$333,2,0)</f>
        <v>Does your product rely on activating a special "accessibility mode," a "lite version," or using an alternate interface (including “overlay” or AI-based alternates)  for accessibility purposes?</v>
      </c>
      <c r="C37" s="45" t="s">
        <v>26</v>
      </c>
      <c r="D37" s="46" t="s">
        <v>238</v>
      </c>
      <c r="E37" s="47" t="str">
        <f>IF($C$18='Auto Responses'!$J$4,'Auto Responses'!$A$4,IF($C37='Auto Responses'!$J$3,VLOOKUP($A37,Questions!$A$2:$X$333,17,0)&amp;"",IF($C37='Auto Responses'!$J$4,VLOOKUP($A37,Questions!$A$2:$X$333,16,0)&amp;"",VLOOKUP($A37,Questions!$A$2:$X$333,15,0)&amp;"")))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48" t="str">
        <f>VLOOKUP($A37,'Institution Evaluation'!$A$56:$F$345,6,0)&amp;""</f>
        <v/>
      </c>
      <c r="G37" s="62" t="s">
        <v>35</v>
      </c>
      <c r="I37" s="7"/>
      <c r="J37" s="7"/>
    </row>
    <row r="38" spans="1:12" s="3" customFormat="1" ht="42" customHeight="1" x14ac:dyDescent="0.15">
      <c r="A38" s="63" t="s">
        <v>53</v>
      </c>
      <c r="B38" s="57"/>
      <c r="C38" s="58"/>
      <c r="D38" s="59"/>
      <c r="E38" s="60"/>
      <c r="F38" s="61"/>
      <c r="G38" s="62"/>
      <c r="I38" s="7"/>
      <c r="J38" s="7"/>
    </row>
    <row r="39" spans="1:12" s="3" customFormat="1" ht="15" hidden="1" customHeight="1" x14ac:dyDescent="0.15">
      <c r="A39"/>
      <c r="C39" s="4"/>
      <c r="D39" s="5"/>
      <c r="E39" s="6"/>
      <c r="I39" s="7"/>
      <c r="J39" s="7"/>
    </row>
    <row r="40" spans="1:12" ht="15" hidden="1" customHeight="1" x14ac:dyDescent="0.2">
      <c r="A40" s="3"/>
      <c r="B40" s="4"/>
      <c r="C40" s="77"/>
      <c r="D40" s="6"/>
      <c r="E40" s="3"/>
      <c r="H40" s="7"/>
      <c r="I40" s="3"/>
      <c r="J40" s="3"/>
      <c r="L40"/>
    </row>
    <row r="41" spans="1:12" hidden="1" x14ac:dyDescent="0.2">
      <c r="A41" s="36" t="e">
        <f>#REF!</f>
        <v>#REF!</v>
      </c>
    </row>
    <row r="42" spans="1:12" hidden="1" x14ac:dyDescent="0.2">
      <c r="A42" s="36" t="e">
        <f>#REF!</f>
        <v>#REF!</v>
      </c>
    </row>
    <row r="43" spans="1:12" hidden="1" x14ac:dyDescent="0.2">
      <c r="A43" s="36" t="e">
        <f>#REF!</f>
        <v>#REF!</v>
      </c>
    </row>
    <row r="44" spans="1:12" hidden="1" x14ac:dyDescent="0.2">
      <c r="A44" s="36" t="e">
        <f>#REF!</f>
        <v>#REF!</v>
      </c>
    </row>
    <row r="45" spans="1:12" hidden="1" x14ac:dyDescent="0.2">
      <c r="A45" s="36" t="e">
        <f>#REF!</f>
        <v>#REF!</v>
      </c>
    </row>
    <row r="46" spans="1:12" hidden="1" x14ac:dyDescent="0.2">
      <c r="A46" s="36" t="e">
        <f>#REF!</f>
        <v>#REF!</v>
      </c>
    </row>
    <row r="47" spans="1:12" hidden="1" x14ac:dyDescent="0.2">
      <c r="A47" s="36" t="e">
        <f>#REF!</f>
        <v>#REF!</v>
      </c>
    </row>
  </sheetData>
  <dataValidations count="3">
    <dataValidation allowBlank="1" showInputMessage="1" showErrorMessage="1" promptTitle="Warning!" prompt="The HECVAT is built using a number of complex formulas. Editing this cell can break the functionality of the tool. " sqref="B2:F2 A3:B38 D3:F3 C4:F12 D13:F16 C17:F17 E18:F18 C19:F19 E20:F37" xr:uid="{00000000-0002-0000-0400-000000000000}">
      <formula1>0</formula1>
      <formula2>0</formula2>
    </dataValidation>
    <dataValidation allowBlank="1" showInputMessage="1" showErrorMessage="1" prompt="This cell should be left blank. Input your answer in column C." sqref="D20:D24" xr:uid="{00000000-0002-0000-0400-000001000000}">
      <formula1>0</formula1>
      <formula2>0</formula2>
    </dataValidation>
    <dataValidation allowBlank="1" showInputMessage="1" showErrorMessage="1" prompt="This answer has been populated from the &quot;START HERE&quot; tab and does not need to be re-entered." sqref="C3 C13:C16 C18" xr:uid="{00000000-0002-0000-0400-000002000000}">
      <formula1>0</formula1>
      <formula2>0</formula2>
    </dataValidation>
  </dataValidations>
  <hyperlinks>
    <hyperlink ref="A11" r:id="rId1" display="http://www.educause.edu/HECVAT"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636C"/>
  </sheetPr>
  <dimension ref="A1:L94"/>
  <sheetViews>
    <sheetView showGridLines="0" topLeftCell="A38" workbookViewId="0"/>
  </sheetViews>
  <sheetFormatPr baseColWidth="10" defaultColWidth="0" defaultRowHeight="16" x14ac:dyDescent="0.2"/>
  <cols>
    <col min="1" max="1" width="8.25" style="2" customWidth="1"/>
    <col min="2" max="2" width="55.125" style="3" customWidth="1"/>
    <col min="3" max="3" width="20.5" style="4" customWidth="1"/>
    <col min="4" max="4" width="55.625" style="5" customWidth="1"/>
    <col min="5" max="5" width="32" style="6" customWidth="1"/>
    <col min="6" max="6" width="32" style="3" customWidth="1"/>
    <col min="7" max="7" width="18" style="3" customWidth="1"/>
    <col min="8" max="8" width="18" style="3" hidden="1" customWidth="1"/>
    <col min="9" max="10" width="18" style="7" hidden="1" customWidth="1"/>
    <col min="11" max="11" width="4.5" style="3" hidden="1" customWidth="1"/>
    <col min="12" max="12" width="6.625" style="3" hidden="1"/>
    <col min="13" max="16384" width="6.625" style="2" hidden="1"/>
  </cols>
  <sheetData>
    <row r="1" spans="1:10" ht="20.25" hidden="1" customHeight="1" x14ac:dyDescent="0.2">
      <c r="A1" t="s">
        <v>0</v>
      </c>
    </row>
    <row r="2" spans="1:10" ht="36" customHeight="1" x14ac:dyDescent="0.2">
      <c r="A2" s="8" t="s">
        <v>239</v>
      </c>
      <c r="B2" s="8"/>
      <c r="C2" s="9"/>
      <c r="D2" s="10"/>
      <c r="E2" s="11"/>
      <c r="F2" s="11" t="str">
        <f>'Auto Responses'!$A$36</f>
        <v>Version 4.1.6</v>
      </c>
      <c r="J2" s="3"/>
    </row>
    <row r="3" spans="1:10" s="3" customFormat="1" ht="28.5" customHeight="1" x14ac:dyDescent="0.15">
      <c r="A3" s="12" t="s">
        <v>2</v>
      </c>
      <c r="B3" s="13">
        <v>46282</v>
      </c>
      <c r="C3" s="64">
        <f>'START HERE'!$C$3</f>
        <v>0</v>
      </c>
      <c r="D3" s="15"/>
      <c r="E3" s="16"/>
      <c r="F3" s="17"/>
      <c r="I3" s="7"/>
    </row>
    <row r="4" spans="1:10" s="3" customFormat="1" ht="36" customHeight="1" x14ac:dyDescent="0.15">
      <c r="A4" s="18" t="s">
        <v>3</v>
      </c>
      <c r="B4" s="19"/>
      <c r="C4" s="20"/>
      <c r="D4" s="21"/>
      <c r="E4" s="22"/>
      <c r="F4" s="22"/>
      <c r="I4" s="7"/>
    </row>
    <row r="5" spans="1:10"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10"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10"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10" s="3" customFormat="1" ht="19.5" customHeight="1" x14ac:dyDescent="0.15">
      <c r="A8" s="23" t="str">
        <f>HLOOKUP($A$4,'Auto Responses'!$D$2:$D$8,5,0)&amp;""</f>
        <v>4. DO NOT complete any fields in the "Evaluation" sheets or the "Analyst Notes" column.</v>
      </c>
      <c r="B8" s="24"/>
      <c r="C8" s="25"/>
      <c r="D8" s="26"/>
      <c r="E8" s="24"/>
      <c r="F8" s="28"/>
      <c r="I8" s="7"/>
    </row>
    <row r="9" spans="1:10" s="3" customFormat="1" ht="19.5" customHeight="1" x14ac:dyDescent="0.15">
      <c r="A9" s="23" t="str">
        <f>HLOOKUP($A$4,'Auto Responses'!$D$2:$D$8,6,0)&amp;""</f>
        <v>5. Return the completed file to institutions.</v>
      </c>
      <c r="B9" s="24"/>
      <c r="C9" s="25"/>
      <c r="D9" s="26"/>
      <c r="E9" s="24"/>
      <c r="F9" s="28"/>
      <c r="I9" s="7"/>
    </row>
    <row r="10" spans="1:10"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10" s="3" customFormat="1" ht="19.5" customHeight="1" x14ac:dyDescent="0.15">
      <c r="A11" s="30" t="str">
        <f>HLOOKUP($A$4,'Auto Responses'!$D$2:$D$9,8,0)&amp;""</f>
        <v>For full instructions, please visit educause.edu/HECVAT</v>
      </c>
      <c r="B11" s="24"/>
      <c r="C11" s="25"/>
      <c r="D11" s="26"/>
      <c r="E11" s="24"/>
      <c r="F11" s="31"/>
      <c r="I11" s="7"/>
    </row>
    <row r="12" spans="1:10" s="3" customFormat="1" ht="36" customHeight="1" x14ac:dyDescent="0.15">
      <c r="A12" s="32" t="str">
        <f>VLOOKUP(LEFT($A13,4),'Auto Responses'!$N$4:$O$38,2,0)&amp;""</f>
        <v xml:space="preserve"> General Information</v>
      </c>
      <c r="B12" s="19"/>
      <c r="C12" s="20" t="s">
        <v>21</v>
      </c>
      <c r="D12" s="34"/>
      <c r="E12" s="35"/>
      <c r="F12" s="35"/>
      <c r="I12" s="7"/>
      <c r="J12" s="7"/>
    </row>
    <row r="13" spans="1:10" s="3" customFormat="1" ht="21.75" customHeight="1" x14ac:dyDescent="0.15">
      <c r="A13" s="36" t="s">
        <v>4</v>
      </c>
      <c r="B13" s="37" t="str">
        <f>VLOOKUP($A13,Questions!$A$2:$X$333,2,0)&amp;""</f>
        <v>Solution Provider Name</v>
      </c>
      <c r="C13" s="38" t="str">
        <f>VLOOKUP($A13,'START HERE'!$A$13:$C$21,3,0)&amp;""</f>
        <v>SmartPLS GmbH</v>
      </c>
      <c r="D13" s="39"/>
      <c r="E13" s="39"/>
      <c r="F13" s="17"/>
      <c r="I13" s="7"/>
      <c r="J13" s="7"/>
    </row>
    <row r="14" spans="1:10" s="3" customFormat="1" ht="21.75" customHeight="1" x14ac:dyDescent="0.15">
      <c r="A14" s="36" t="s">
        <v>6</v>
      </c>
      <c r="B14" s="37" t="str">
        <f>VLOOKUP($A14,Questions!$A$2:$X$333,2,0)&amp;""</f>
        <v>Solution Name</v>
      </c>
      <c r="C14" s="38" t="str">
        <f>VLOOKUP($A14,'START HERE'!$A$13:$C$21,3,0)&amp;""</f>
        <v>SmartPLS 4.1.1.9 (SmartPLS Desktop)</v>
      </c>
      <c r="D14" s="39"/>
      <c r="E14" s="39"/>
      <c r="F14" s="17"/>
      <c r="I14" s="7"/>
      <c r="J14" s="7"/>
    </row>
    <row r="15" spans="1:10" s="3" customFormat="1" ht="21.75" customHeight="1" x14ac:dyDescent="0.15">
      <c r="A15" s="36" t="s">
        <v>7</v>
      </c>
      <c r="B15" s="37"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39"/>
      <c r="E15" s="39"/>
      <c r="F15" s="17"/>
      <c r="I15" s="7"/>
      <c r="J15" s="7"/>
    </row>
    <row r="16" spans="1:10" s="3" customFormat="1" ht="21.75" customHeight="1" x14ac:dyDescent="0.15">
      <c r="A16" s="36" t="s">
        <v>17</v>
      </c>
      <c r="B16" s="37" t="str">
        <f>VLOOKUP($A16,Questions!$A$2:$X$333,2,0)&amp;""</f>
        <v>Country of Company Headquarters</v>
      </c>
      <c r="C16" s="38" t="str">
        <f>VLOOKUP($A16,'START HERE'!$A$13:$C$21,3,0)&amp;""</f>
        <v>Germany</v>
      </c>
      <c r="D16" s="39"/>
      <c r="E16" s="39"/>
      <c r="F16" s="17"/>
      <c r="I16" s="7"/>
      <c r="J16" s="7"/>
    </row>
    <row r="17" spans="1:10" s="3" customFormat="1" ht="36.75" customHeight="1" x14ac:dyDescent="0.15">
      <c r="A17" s="32" t="str">
        <f>VLOOKUP(LEFT($A18,4),'Auto Responses'!$N$4:$O$38,2,0)&amp;""</f>
        <v xml:space="preserve"> Required Questions</v>
      </c>
      <c r="B17" s="41"/>
      <c r="C17" s="20" t="s">
        <v>21</v>
      </c>
      <c r="D17" s="20" t="s">
        <v>22</v>
      </c>
      <c r="E17" s="42" t="s">
        <v>23</v>
      </c>
      <c r="F17" s="53" t="s">
        <v>24</v>
      </c>
      <c r="I17" s="7"/>
      <c r="J17" s="7"/>
    </row>
    <row r="18" spans="1:10" s="3" customFormat="1" ht="38.25" customHeight="1" x14ac:dyDescent="0.15">
      <c r="A18" s="36" t="s">
        <v>40</v>
      </c>
      <c r="B18" s="44" t="str">
        <f>VLOOKUP($A18,Questions!$A$2:$X$333,2,0)</f>
        <v>Are you providing consulting services?</v>
      </c>
      <c r="C18" s="78" t="str">
        <f>VLOOKUP($A18,'START HERE'!$A$23:$F$36,3,0)&amp;""</f>
        <v>No</v>
      </c>
      <c r="D18" s="79" t="str">
        <f>VLOOKUP($A18,'START HERE'!$A$23:$F$36,4,0)&amp;""</f>
        <v>SmartPLS does not provide consulting services as part of this engagement.</v>
      </c>
      <c r="E18" s="47" t="str">
        <f>IF($C18='Auto Responses'!$J$3,VLOOKUP($A18,Questions!$A$2:$X$333,17,0)&amp;"",IF($C18='Auto Responses'!$J$4,VLOOKUP($A18,Questions!$A$2:$X$333,16,0)&amp;"",VLOOKUP($A18,Questions!$A$2:$X$333,15,0)&amp;""))</f>
        <v>DO NOT complete the Consulting section in the Case-Specific worksheet</v>
      </c>
      <c r="F18" s="48" t="str">
        <f>VLOOKUP($A18,'Institution Evaluation'!$A$56:$F$345,6,0)&amp;""</f>
        <v/>
      </c>
      <c r="I18" s="7"/>
      <c r="J18" s="7"/>
    </row>
    <row r="19" spans="1:10" s="3" customFormat="1" ht="51.75" customHeight="1" x14ac:dyDescent="0.15">
      <c r="A19" s="36" t="s">
        <v>44</v>
      </c>
      <c r="B19" s="44" t="str">
        <f>VLOOKUP($A19,Questions!$A$2:$X$333,2,0)</f>
        <v>Does your solution process protected health information (PHI) or any data covered by the Health Insurance Portability and Accountability Act (HIPAA)?</v>
      </c>
      <c r="C19" s="78" t="str">
        <f>VLOOKUP($A19,'START HERE'!$A$23:$F$36,3,0)&amp;""</f>
        <v>No</v>
      </c>
      <c r="D19" s="79" t="str">
        <f>VLOOKUP($A19,'START HERE'!$A$23:$F$36,4,0)&amp;""</f>
        <v>SmartPLS does not process protected health information or other HIPAA-covered data.</v>
      </c>
      <c r="E19" s="47" t="str">
        <f>IF($C19='Auto Responses'!$J$3,VLOOKUP($A19,Questions!$A$2:$X$333,17,0)&amp;"",IF($C19='Auto Responses'!$J$4,VLOOKUP($A19,Questions!$A$2:$X$333,16,0)&amp;"",VLOOKUP($A19,Questions!$A$2:$X$333,15,0)&amp;""))</f>
        <v>DO NOT complete the HIPAA section in the Case-Specific worksheet</v>
      </c>
      <c r="F19" s="48" t="str">
        <f>VLOOKUP($A19,'Institution Evaluation'!$A$56:$F$345,6,0)&amp;""</f>
        <v/>
      </c>
      <c r="I19" s="7"/>
      <c r="J19" s="7"/>
    </row>
    <row r="20" spans="1:10" s="3" customFormat="1" ht="51.75" customHeight="1" x14ac:dyDescent="0.15">
      <c r="A20" s="36" t="s">
        <v>46</v>
      </c>
      <c r="B20" s="44" t="str">
        <f>VLOOKUP($A20,Questions!$A$2:$X$333,2,0)</f>
        <v>Is the solution designed to process, store, or transmit credit card information?</v>
      </c>
      <c r="C20" s="78" t="str">
        <f>VLOOKUP($A20,'START HERE'!$A$23:$F$36,3,0)&amp;""</f>
        <v>No</v>
      </c>
      <c r="D20" s="79" t="str">
        <f>VLOOKUP($A20,'START HERE'!$A$23:$F$36,4,0)&amp;""</f>
        <v>License purchases are processed by our payment service provider, Adyen; SmartPLS does not itself store, process, or transmit cardholder data.</v>
      </c>
      <c r="E20" s="47" t="str">
        <f>IF($C20='Auto Responses'!$J$3,VLOOKUP($A20,Questions!$A$2:$X$333,17,0)&amp;"",IF($C20='Auto Responses'!$J$4,VLOOKUP($A20,Questions!$A$2:$X$333,16,0)&amp;"",VLOOKUP($A20,Questions!$A$2:$X$333,15,0)&amp;""))</f>
        <v>DO NOT complete the PCI-DSS section in the Case-Specific worksheet</v>
      </c>
      <c r="F20" s="48" t="str">
        <f>VLOOKUP($A20,'Institution Evaluation'!$A$56:$F$345,6,0)&amp;""</f>
        <v/>
      </c>
      <c r="I20" s="7"/>
      <c r="J20" s="7"/>
    </row>
    <row r="21" spans="1:10" s="3" customFormat="1" ht="69" customHeight="1" x14ac:dyDescent="0.15">
      <c r="A21" s="36" t="s">
        <v>48</v>
      </c>
      <c r="B21" s="44"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8" t="str">
        <f>VLOOKUP($A21,'START HERE'!$A$23:$F$36,3,0)&amp;""</f>
        <v>No</v>
      </c>
      <c r="D21" s="79" t="str">
        <f>VLOOKUP($A21,'START HERE'!$A$23:$F$36,4,0)&amp;""</f>
        <v>SmartPLS Desktop requires no institution-hosted appliance and no inbound firewall exceptions for remote administration.</v>
      </c>
      <c r="E21" s="47" t="str">
        <f>IF($C21='Auto Responses'!$J$3,VLOOKUP($A21,Questions!$A$2:$X$333,17,0)&amp;"",IF($C21='Auto Responses'!$J$4,VLOOKUP($A21,Questions!$A$2:$X$333,16,0)&amp;"",VLOOKUP($A21,Questions!$A$2:$X$333,15,0)&amp;""))</f>
        <v>DO NOT complete the On-Prem section in the Case-Specific worksheet</v>
      </c>
      <c r="F21" s="48" t="str">
        <f>VLOOKUP($A21,'Institution Evaluation'!$A$56:$F$345,6,0)&amp;""</f>
        <v/>
      </c>
      <c r="G21" s="62" t="s">
        <v>35</v>
      </c>
      <c r="I21" s="7"/>
      <c r="J21" s="7"/>
    </row>
    <row r="22" spans="1:10" s="3" customFormat="1" ht="36.75" customHeight="1" x14ac:dyDescent="0.15">
      <c r="A22" s="32" t="str">
        <f>VLOOKUP(LEFT($A23,4),'Auto Responses'!$N$4:$O$38,2,0)&amp;""</f>
        <v xml:space="preserve"> Consulting Services</v>
      </c>
      <c r="B22" s="41"/>
      <c r="C22" s="20" t="s">
        <v>21</v>
      </c>
      <c r="D22" s="20" t="s">
        <v>22</v>
      </c>
      <c r="E22" s="42" t="s">
        <v>23</v>
      </c>
      <c r="F22" s="53" t="s">
        <v>24</v>
      </c>
      <c r="I22" s="7"/>
      <c r="J22" s="7"/>
    </row>
    <row r="23" spans="1:10" s="3" customFormat="1" ht="27" customHeight="1" x14ac:dyDescent="0.15">
      <c r="A23" s="36" t="s">
        <v>240</v>
      </c>
      <c r="B23" s="44" t="str">
        <f>VLOOKUP($A23,Questions!$A$2:$X$333,2,0)</f>
        <v>Will the consultant require access to the institution's network resources?*</v>
      </c>
      <c r="C23" s="45" t="s">
        <v>75</v>
      </c>
      <c r="D23" s="61"/>
      <c r="E23" s="47" t="str">
        <f>IF($C$18='Auto Responses'!$J$4,'Auto Responses'!$A$5,IF($C23='Auto Responses'!$J$3,VLOOKUP($A23,Questions!$A$2:$X$333,17,0)&amp;"",IF($C23='Auto Responses'!$J$4,VLOOKUP($A23,Questions!$A$2:$X$333,16,0)&amp;"",VLOOKUP($A23,Questions!$A$2:$X$333,15,0)&amp;"")))</f>
        <v>Based on the response to REQU-03 on the "START HERE" tab, this question does not apply to this product or service.</v>
      </c>
      <c r="F23" s="48" t="str">
        <f>VLOOKUP($A23,'Institution Evaluation'!$A$56:$F$345,6,0)&amp;""</f>
        <v/>
      </c>
      <c r="I23" s="7"/>
      <c r="J23" s="7"/>
    </row>
    <row r="24" spans="1:10" s="3" customFormat="1" ht="27" customHeight="1" x14ac:dyDescent="0.15">
      <c r="A24" s="36" t="s">
        <v>241</v>
      </c>
      <c r="B24" s="44" t="str">
        <f>VLOOKUP($A24,Questions!$A$2:$X$333,2,0)</f>
        <v>Has the consultant received training on (sensitive, HIPAA, PCI, etc.) data handling?*</v>
      </c>
      <c r="C24" s="45" t="s">
        <v>75</v>
      </c>
      <c r="D24" s="86"/>
      <c r="E24" s="47" t="str">
        <f>IF($C$18='Auto Responses'!$J$4,'Auto Responses'!$A$5,IF($C24='Auto Responses'!$J$3,VLOOKUP($A24,Questions!$A$2:$X$333,17,0)&amp;"",IF($C24='Auto Responses'!$J$4,VLOOKUP($A24,Questions!$A$2:$X$333,16,0)&amp;"",VLOOKUP($A24,Questions!$A$2:$X$333,15,0)&amp;"")))</f>
        <v>Based on the response to REQU-03 on the "START HERE" tab, this question does not apply to this product or service.</v>
      </c>
      <c r="F24" s="48" t="str">
        <f>VLOOKUP($A24,'Institution Evaluation'!$A$56:$F$345,6,0)&amp;""</f>
        <v/>
      </c>
      <c r="I24" s="7"/>
      <c r="J24" s="7"/>
    </row>
    <row r="25" spans="1:10" s="3" customFormat="1" ht="36" customHeight="1" x14ac:dyDescent="0.15">
      <c r="A25" s="36" t="s">
        <v>242</v>
      </c>
      <c r="B25" s="44" t="str">
        <f>VLOOKUP($A25,Questions!$A$2:$X$333,2,0)</f>
        <v>Is the data encrypted (at rest) while in the consultant's possession?*</v>
      </c>
      <c r="C25" s="45" t="s">
        <v>75</v>
      </c>
      <c r="D25" s="86"/>
      <c r="E25" s="47" t="str">
        <f>IF($C$18='Auto Responses'!$J$4,'Auto Responses'!$A$5,IF($C25='Auto Responses'!$J$3,VLOOKUP($A25,Questions!$A$2:$X$333,17,0)&amp;"",IF($C25='Auto Responses'!$J$4,VLOOKUP($A25,Questions!$A$2:$X$333,16,0)&amp;"",IF($C25='Auto Responses'!$J$5,VLOOKUP($A25,Questions!$A$2:$X$333,18,0)&amp;"",VLOOKUP($A25,Questions!$A$2:$X$333,15,0)&amp;""))))</f>
        <v>Based on the response to REQU-03 on the "START HERE" tab, this question does not apply to this product or service.</v>
      </c>
      <c r="F25" s="48" t="str">
        <f>VLOOKUP($A25,'Institution Evaluation'!$A$56:$F$345,6,0)&amp;""</f>
        <v/>
      </c>
      <c r="I25" s="7"/>
      <c r="J25" s="7"/>
    </row>
    <row r="26" spans="1:10" s="3" customFormat="1" ht="15" customHeight="1" x14ac:dyDescent="0.15">
      <c r="A26" s="36" t="s">
        <v>243</v>
      </c>
      <c r="B26" s="44" t="str">
        <f>VLOOKUP($A26,Questions!$A$2:$X$333,2,0)</f>
        <v>Can access be restricted based on source IP address?*</v>
      </c>
      <c r="C26" s="45" t="s">
        <v>75</v>
      </c>
      <c r="D26" s="86"/>
      <c r="E26" s="47" t="str">
        <f>IF($C$18='Auto Responses'!$J$4,'Auto Responses'!$A$5,IF($C26='Auto Responses'!$J$3,VLOOKUP($A26,Questions!$A$2:$X$333,17,0)&amp;"",IF($C26='Auto Responses'!$J$4,VLOOKUP($A26,Questions!$A$2:$X$333,16,0)&amp;"",IF($C26='Auto Responses'!$J$5,VLOOKUP($A26,Questions!$A$2:$X$333,18,0)&amp;"",VLOOKUP($A26,Questions!$A$2:$X$333,15,0)&amp;""))))</f>
        <v>Based on the response to REQU-03 on the "START HERE" tab, this question does not apply to this product or service.</v>
      </c>
      <c r="F26" s="48" t="str">
        <f>VLOOKUP($A26,'Institution Evaluation'!$A$56:$F$345,6,0)&amp;""</f>
        <v/>
      </c>
      <c r="I26" s="7"/>
      <c r="J26" s="7"/>
    </row>
    <row r="27" spans="1:10" s="3" customFormat="1" ht="15" customHeight="1" x14ac:dyDescent="0.15">
      <c r="A27" s="36" t="s">
        <v>244</v>
      </c>
      <c r="B27" s="44" t="str">
        <f>VLOOKUP($A27,Questions!$A$2:$X$333,2,0)</f>
        <v>Will the consulting take place on-premises?</v>
      </c>
      <c r="C27" s="45" t="s">
        <v>75</v>
      </c>
      <c r="D27" s="86"/>
      <c r="E27" s="47" t="str">
        <f>IF($C$18='Auto Responses'!$J$4,'Auto Responses'!$A$5,IF($C27='Auto Responses'!$J$3,VLOOKUP($A27,Questions!$A$2:$X$333,17,0)&amp;"",IF($C27='Auto Responses'!$J$4,VLOOKUP($A27,Questions!$A$2:$X$333,16,0)&amp;"",VLOOKUP($A27,Questions!$A$2:$X$333,15,0)&amp;"")))</f>
        <v>Based on the response to REQU-03 on the "START HERE" tab, this question does not apply to this product or service.</v>
      </c>
      <c r="F27" s="48" t="str">
        <f>VLOOKUP($A27,'Institution Evaluation'!$A$56:$F$345,6,0)&amp;""</f>
        <v/>
      </c>
      <c r="I27" s="7"/>
      <c r="J27" s="7"/>
    </row>
    <row r="28" spans="1:10" s="3" customFormat="1" ht="27" customHeight="1" x14ac:dyDescent="0.15">
      <c r="A28" s="36" t="s">
        <v>245</v>
      </c>
      <c r="B28" s="44" t="str">
        <f>VLOOKUP($A28,Questions!$A$2:$X$333,2,0)</f>
        <v>Will the consultant require access to hardware in the institution's data centers?</v>
      </c>
      <c r="C28" s="45" t="s">
        <v>75</v>
      </c>
      <c r="D28" s="86"/>
      <c r="E28" s="47" t="str">
        <f>IF($C$18='Auto Responses'!$J$4,'Auto Responses'!$A$5,IF($C28='Auto Responses'!$J$3,VLOOKUP($A28,Questions!$A$2:$X$333,17,0)&amp;"",IF($C28='Auto Responses'!$J$4,VLOOKUP($A28,Questions!$A$2:$X$333,16,0)&amp;"",VLOOKUP($A28,Questions!$A$2:$X$333,15,0)&amp;"")))</f>
        <v>Based on the response to REQU-03 on the "START HERE" tab, this question does not apply to this product or service.</v>
      </c>
      <c r="F28" s="48" t="str">
        <f>VLOOKUP($A28,'Institution Evaluation'!$A$56:$F$345,6,0)&amp;""</f>
        <v/>
      </c>
      <c r="I28" s="7"/>
      <c r="J28" s="7"/>
    </row>
    <row r="29" spans="1:10" s="3" customFormat="1" ht="27" customHeight="1" x14ac:dyDescent="0.15">
      <c r="A29" s="36" t="s">
        <v>246</v>
      </c>
      <c r="B29" s="44" t="str">
        <f>VLOOKUP($A29,Questions!$A$2:$X$333,2,0)</f>
        <v>Will the consultant require an account within the institution's domain (@*.edu)?</v>
      </c>
      <c r="C29" s="45" t="s">
        <v>75</v>
      </c>
      <c r="D29" s="86"/>
      <c r="E29" s="47" t="str">
        <f>IF($C$18='Auto Responses'!$J$4,'Auto Responses'!$A$5,IF($C29='Auto Responses'!$J$3,VLOOKUP($A29,Questions!$A$2:$X$333,17,0)&amp;"",IF($C29='Auto Responses'!$J$4,VLOOKUP($A29,Questions!$A$2:$X$333,16,0)&amp;"",VLOOKUP($A29,Questions!$A$2:$X$333,15,0)&amp;"")))</f>
        <v>Based on the response to REQU-03 on the "START HERE" tab, this question does not apply to this product or service.</v>
      </c>
      <c r="F29" s="48" t="str">
        <f>VLOOKUP($A29,'Institution Evaluation'!$A$56:$F$345,6,0)&amp;""</f>
        <v/>
      </c>
      <c r="I29" s="7"/>
      <c r="J29" s="7"/>
    </row>
    <row r="30" spans="1:10" s="3" customFormat="1" ht="15" customHeight="1" x14ac:dyDescent="0.15">
      <c r="A30" s="36" t="s">
        <v>247</v>
      </c>
      <c r="B30" s="44" t="str">
        <f>VLOOKUP($A30,Questions!$A$2:$X$333,2,0)</f>
        <v>Will any data be transferred to the consultant's possession?</v>
      </c>
      <c r="C30" s="45" t="s">
        <v>75</v>
      </c>
      <c r="D30" s="86"/>
      <c r="E30" s="47" t="str">
        <f>IF($C$18='Auto Responses'!$J$4,'Auto Responses'!$A$5,IF($C30='Auto Responses'!$J$3,VLOOKUP($A30,Questions!$A$2:$X$333,17,0)&amp;"",IF($C30='Auto Responses'!$J$4,VLOOKUP($A30,Questions!$A$2:$X$333,16,0)&amp;"",VLOOKUP($A30,Questions!$A$2:$X$333,15,0)&amp;"")))</f>
        <v>Based on the response to REQU-03 on the "START HERE" tab, this question does not apply to this product or service.</v>
      </c>
      <c r="F30" s="48" t="str">
        <f>VLOOKUP($A30,'Institution Evaluation'!$A$56:$F$345,6,0)&amp;""</f>
        <v/>
      </c>
      <c r="I30" s="7"/>
      <c r="J30" s="7"/>
    </row>
    <row r="31" spans="1:10" s="3" customFormat="1" ht="27" customHeight="1" x14ac:dyDescent="0.15">
      <c r="A31" s="36" t="s">
        <v>248</v>
      </c>
      <c r="B31" s="44" t="str">
        <f>VLOOKUP($A31,Questions!$A$2:$X$333,2,0)</f>
        <v>Will the consultant need remote access to the institution's network or systems?</v>
      </c>
      <c r="C31" s="45" t="s">
        <v>75</v>
      </c>
      <c r="D31" s="86"/>
      <c r="E31" s="47" t="str">
        <f>IF($C$18='Auto Responses'!$J$4,'Auto Responses'!$A$5,IF($C31='Auto Responses'!$J$3,VLOOKUP($A31,Questions!$A$2:$X$333,17,0)&amp;"",IF($C31='Auto Responses'!$J$4,VLOOKUP($A31,Questions!$A$2:$X$333,16,0)&amp;"",VLOOKUP($A31,Questions!$A$2:$X$333,15,0)&amp;"")))</f>
        <v>Based on the response to REQU-03 on the "START HERE" tab, this question does not apply to this product or service.</v>
      </c>
      <c r="F31" s="48" t="str">
        <f>VLOOKUP($A31,'Institution Evaluation'!$A$56:$F$345,6,0)&amp;""</f>
        <v/>
      </c>
      <c r="G31" s="62" t="s">
        <v>35</v>
      </c>
      <c r="I31" s="7"/>
      <c r="J31" s="7"/>
    </row>
    <row r="32" spans="1:10" s="3" customFormat="1" ht="36.75" customHeight="1" x14ac:dyDescent="0.15">
      <c r="A32" s="32" t="str">
        <f>VLOOKUP(LEFT($A33,4),'Auto Responses'!$N$4:$O$38,2,0)&amp;""</f>
        <v xml:space="preserve">HIPAA Compliance </v>
      </c>
      <c r="B32" s="41"/>
      <c r="C32" s="20" t="s">
        <v>21</v>
      </c>
      <c r="D32" s="20" t="s">
        <v>22</v>
      </c>
      <c r="E32" s="42" t="s">
        <v>23</v>
      </c>
      <c r="F32" s="53" t="s">
        <v>24</v>
      </c>
      <c r="I32" s="7"/>
      <c r="J32" s="7"/>
    </row>
    <row r="33" spans="1:10" s="3" customFormat="1" ht="49.5" customHeight="1" x14ac:dyDescent="0.15">
      <c r="A33" s="36" t="s">
        <v>249</v>
      </c>
      <c r="B33" s="44" t="str">
        <f>VLOOKUP($A33,Questions!$A$2:$X$333,2,0)</f>
        <v>Do your workforce members receive regular training related to the Health Insurance Portability and Accountability Act (HIPAA) Privacy and Security Rules and the HITECH Act?*</v>
      </c>
      <c r="C33" s="45" t="s">
        <v>75</v>
      </c>
      <c r="D33" s="86"/>
      <c r="E33" s="47" t="str">
        <f>IF($C$19='Auto Responses'!$J$4,'Auto Responses'!$A$7,IF($C33='Auto Responses'!$J$3,VLOOKUP($A33,Questions!$A$2:$X$333,17,0)&amp;"",IF($C33='Auto Responses'!$J$4,VLOOKUP($A33,Questions!$A$2:$X$333,16,0)&amp;"",VLOOKUP($A33,Questions!$A$2:$X$333,15,0)&amp;"")))</f>
        <v>Based on the response to REQU-05 on the "START HERE" tab, this question does not apply to this product or service.</v>
      </c>
      <c r="F33" s="48" t="str">
        <f>VLOOKUP($A33,'Institution Evaluation'!$A$56:$F$345,6,0)&amp;""</f>
        <v/>
      </c>
      <c r="I33" s="7"/>
      <c r="J33" s="7"/>
    </row>
    <row r="34" spans="1:10" s="3" customFormat="1" ht="49.5" customHeight="1" x14ac:dyDescent="0.15">
      <c r="A34" s="36" t="s">
        <v>250</v>
      </c>
      <c r="B34" s="44" t="str">
        <f>VLOOKUP($A34,Questions!$A$2:$X$333,2,0)</f>
        <v>Have you identified areas of risk?*</v>
      </c>
      <c r="C34" s="45" t="s">
        <v>75</v>
      </c>
      <c r="D34" s="86"/>
      <c r="E34" s="47" t="str">
        <f>IF($C$19='Auto Responses'!$J$4,'Auto Responses'!$A$7,IF($C34='Auto Responses'!$J$3,VLOOKUP($A34,Questions!$A$2:$X$333,17,0)&amp;"",IF($C34='Auto Responses'!$J$4,VLOOKUP($A34,Questions!$A$2:$X$333,16,0)&amp;"",VLOOKUP($A34,Questions!$A$2:$X$333,15,0)&amp;"")))</f>
        <v>Based on the response to REQU-05 on the "START HERE" tab, this question does not apply to this product or service.</v>
      </c>
      <c r="F34" s="48" t="str">
        <f>VLOOKUP($A34,'Institution Evaluation'!$A$56:$F$345,6,0)&amp;""</f>
        <v/>
      </c>
      <c r="I34" s="7"/>
      <c r="J34" s="7"/>
    </row>
    <row r="35" spans="1:10" s="3" customFormat="1" ht="49.5" customHeight="1" x14ac:dyDescent="0.15">
      <c r="A35" s="36" t="s">
        <v>251</v>
      </c>
      <c r="B35" s="44" t="str">
        <f>VLOOKUP($A35,Questions!$A$2:$X$333,2,0)</f>
        <v>Have the relevant policies/plans been tested?*</v>
      </c>
      <c r="C35" s="45" t="s">
        <v>75</v>
      </c>
      <c r="D35" s="86"/>
      <c r="E35" s="47" t="str">
        <f>IF($C$19='Auto Responses'!$J$4,'Auto Responses'!$A$7,IF($C35='Auto Responses'!$J$3,VLOOKUP($A35,Questions!$A$2:$X$333,17,0)&amp;"",IF($C35='Auto Responses'!$J$4,VLOOKUP($A35,Questions!$A$2:$X$333,16,0)&amp;"",VLOOKUP($A35,Questions!$A$2:$X$333,15,0)&amp;"")))</f>
        <v>Based on the response to REQU-05 on the "START HERE" tab, this question does not apply to this product or service.</v>
      </c>
      <c r="F35" s="48" t="str">
        <f>VLOOKUP($A35,'Institution Evaluation'!$A$56:$F$345,6,0)&amp;""</f>
        <v/>
      </c>
      <c r="I35" s="7"/>
      <c r="J35" s="7"/>
    </row>
    <row r="36" spans="1:10" s="3" customFormat="1" ht="49.5" customHeight="1" x14ac:dyDescent="0.15">
      <c r="A36" s="36" t="s">
        <v>252</v>
      </c>
      <c r="B36" s="44" t="str">
        <f>VLOOKUP($A36,Questions!$A$2:$X$333,2,0)</f>
        <v>Have you entered into a Business Associate Agreements with all subcontractors who may have access to protected health information (PHI)?*</v>
      </c>
      <c r="C36" s="45" t="s">
        <v>75</v>
      </c>
      <c r="D36" s="86"/>
      <c r="E36" s="47" t="str">
        <f>IF($C$19='Auto Responses'!$J$4,'Auto Responses'!$A$7,IF($C36='Auto Responses'!$J$3,VLOOKUP($A36,Questions!$A$2:$X$333,17,0)&amp;"",IF($C36='Auto Responses'!$J$4,VLOOKUP($A36,Questions!$A$2:$X$333,16,0)&amp;"",VLOOKUP($A36,Questions!$A$2:$X$333,15,0)&amp;"")))</f>
        <v>Based on the response to REQU-05 on the "START HERE" tab, this question does not apply to this product or service.</v>
      </c>
      <c r="F36" s="48" t="str">
        <f>VLOOKUP($A36,'Institution Evaluation'!$A$56:$F$345,6,0)&amp;""</f>
        <v/>
      </c>
      <c r="I36" s="7"/>
      <c r="J36" s="7"/>
    </row>
    <row r="37" spans="1:10" s="3" customFormat="1" ht="49.5" customHeight="1" x14ac:dyDescent="0.15">
      <c r="A37" s="36" t="s">
        <v>253</v>
      </c>
      <c r="B37" s="44" t="str">
        <f>VLOOKUP($A37,Questions!$A$2:$X$333,2,0)</f>
        <v>Do you monitor or receive information regarding changes in HIPAA regulations?</v>
      </c>
      <c r="C37" s="45" t="s">
        <v>75</v>
      </c>
      <c r="D37" s="86"/>
      <c r="E37" s="47" t="str">
        <f>IF($C$19='Auto Responses'!$J$4,'Auto Responses'!$A$7,IF($C37='Auto Responses'!$J$3,VLOOKUP($A37,Questions!$A$2:$X$333,17,0)&amp;"",IF($C37='Auto Responses'!$J$4,VLOOKUP($A37,Questions!$A$2:$X$333,16,0)&amp;"",VLOOKUP($A37,Questions!$A$2:$X$333,15,0)&amp;"")))</f>
        <v>Based on the response to REQU-05 on the "START HERE" tab, this question does not apply to this product or service.</v>
      </c>
      <c r="F37" s="48" t="str">
        <f>VLOOKUP($A37,'Institution Evaluation'!$A$56:$F$345,6,0)&amp;""</f>
        <v/>
      </c>
      <c r="I37" s="7"/>
      <c r="J37" s="7"/>
    </row>
    <row r="38" spans="1:10" s="3" customFormat="1" ht="49.5" customHeight="1" x14ac:dyDescent="0.15">
      <c r="A38" s="36" t="s">
        <v>254</v>
      </c>
      <c r="B38" s="44" t="str">
        <f>VLOOKUP($A38,Questions!$A$2:$X$333,2,0)</f>
        <v>Has your organization designated HIPAA Privacy and Security officers as required by the rules?</v>
      </c>
      <c r="C38" s="45" t="s">
        <v>75</v>
      </c>
      <c r="D38" s="86"/>
      <c r="E38" s="47" t="str">
        <f>IF($C$19='Auto Responses'!$J$4,'Auto Responses'!$A$7,IF($C38='Auto Responses'!$J$3,VLOOKUP($A38,Questions!$A$2:$X$333,17,0)&amp;"",IF($C38='Auto Responses'!$J$4,VLOOKUP($A38,Questions!$A$2:$X$333,16,0)&amp;"",VLOOKUP($A38,Questions!$A$2:$X$333,15,0)&amp;"")))</f>
        <v>Based on the response to REQU-05 on the "START HERE" tab, this question does not apply to this product or service.</v>
      </c>
      <c r="F38" s="48" t="str">
        <f>VLOOKUP($A38,'Institution Evaluation'!$A$56:$F$345,6,0)&amp;""</f>
        <v/>
      </c>
      <c r="I38" s="7"/>
      <c r="J38" s="7"/>
    </row>
    <row r="39" spans="1:10" s="3" customFormat="1" ht="49.5" customHeight="1" x14ac:dyDescent="0.15">
      <c r="A39" s="36" t="s">
        <v>255</v>
      </c>
      <c r="B39" s="44" t="str">
        <f>VLOOKUP($A39,Questions!$A$2:$X$333,2,0)</f>
        <v>Do you comply with the requirements of the Health Information Technology for Economic and Clinical Health Act (HITECH)?</v>
      </c>
      <c r="C39" s="45" t="s">
        <v>75</v>
      </c>
      <c r="D39" s="86"/>
      <c r="E39" s="47" t="str">
        <f>IF($C$19='Auto Responses'!$J$4,'Auto Responses'!$A$7,IF($C39='Auto Responses'!$J$3,VLOOKUP($A39,Questions!$A$2:$X$333,17,0)&amp;"",IF($C39='Auto Responses'!$J$4,VLOOKUP($A39,Questions!$A$2:$X$333,16,0)&amp;"",VLOOKUP($A39,Questions!$A$2:$X$333,15,0)&amp;"")))</f>
        <v>Based on the response to REQU-05 on the "START HERE" tab, this question does not apply to this product or service.</v>
      </c>
      <c r="F39" s="48" t="str">
        <f>VLOOKUP($A39,'Institution Evaluation'!$A$56:$F$345,6,0)&amp;""</f>
        <v/>
      </c>
      <c r="I39" s="7"/>
      <c r="J39" s="7"/>
    </row>
    <row r="40" spans="1:10" s="3" customFormat="1" ht="49.5" customHeight="1" x14ac:dyDescent="0.15">
      <c r="A40" s="36" t="s">
        <v>256</v>
      </c>
      <c r="B40" s="44" t="str">
        <f>VLOOKUP($A40,Questions!$A$2:$X$333,2,0)</f>
        <v>Have you conducted a risk analysis as required under the HIPAA Security Rule?</v>
      </c>
      <c r="C40" s="45" t="s">
        <v>75</v>
      </c>
      <c r="D40" s="86"/>
      <c r="E40" s="47" t="str">
        <f>IF($C$19='Auto Responses'!$J$4,'Auto Responses'!$A$7,IF($C40='Auto Responses'!$J$3,VLOOKUP($A40,Questions!$A$2:$X$333,17,0)&amp;"",IF($C40='Auto Responses'!$J$4,VLOOKUP($A40,Questions!$A$2:$X$333,16,0)&amp;"",VLOOKUP($A40,Questions!$A$2:$X$333,15,0)&amp;"")))</f>
        <v>Based on the response to REQU-05 on the "START HERE" tab, this question does not apply to this product or service.</v>
      </c>
      <c r="F40" s="48" t="str">
        <f>VLOOKUP($A40,'Institution Evaluation'!$A$56:$F$345,6,0)&amp;""</f>
        <v/>
      </c>
      <c r="I40" s="7"/>
      <c r="J40" s="7"/>
    </row>
    <row r="41" spans="1:10" s="3" customFormat="1" ht="49.5" customHeight="1" x14ac:dyDescent="0.15">
      <c r="A41" s="36" t="s">
        <v>257</v>
      </c>
      <c r="B41" s="44" t="str">
        <f>VLOOKUP($A41,Questions!$A$2:$X$333,2,0)</f>
        <v>Have you taken actions to mitigate the identified risks?</v>
      </c>
      <c r="C41" s="45" t="s">
        <v>75</v>
      </c>
      <c r="D41" s="86"/>
      <c r="E41" s="47" t="str">
        <f>IF($C$19='Auto Responses'!$J$4,'Auto Responses'!$A$7,IF($C41='Auto Responses'!$J$3,VLOOKUP($A41,Questions!$A$2:$X$333,17,0)&amp;"",IF($C41='Auto Responses'!$J$4,VLOOKUP($A41,Questions!$A$2:$X$333,16,0)&amp;"",VLOOKUP($A41,Questions!$A$2:$X$333,15,0)&amp;"")))</f>
        <v>Based on the response to REQU-05 on the "START HERE" tab, this question does not apply to this product or service.</v>
      </c>
      <c r="F41" s="48" t="str">
        <f>VLOOKUP($A41,'Institution Evaluation'!$A$56:$F$345,6,0)&amp;""</f>
        <v/>
      </c>
      <c r="I41" s="7"/>
      <c r="J41" s="7"/>
    </row>
    <row r="42" spans="1:10" s="3" customFormat="1" ht="49.5" customHeight="1" x14ac:dyDescent="0.15">
      <c r="A42" s="36" t="s">
        <v>258</v>
      </c>
      <c r="B42" s="44" t="str">
        <f>VLOOKUP($A42,Questions!$A$2:$X$333,2,0)</f>
        <v>Does your application require user and system administrator password changes at a frequency no greater than 90 days?</v>
      </c>
      <c r="C42" s="45" t="s">
        <v>75</v>
      </c>
      <c r="D42" s="86"/>
      <c r="E42" s="47" t="str">
        <f>IF($C$19='Auto Responses'!$J$4,'Auto Responses'!$A$7,IF($C42='Auto Responses'!$J$3,VLOOKUP($A42,Questions!$A$2:$X$333,17,0)&amp;"",IF($C42='Auto Responses'!$J$4,VLOOKUP($A42,Questions!$A$2:$X$333,16,0)&amp;"",VLOOKUP($A42,Questions!$A$2:$X$333,15,0)&amp;"")))</f>
        <v>Based on the response to REQU-05 on the "START HERE" tab, this question does not apply to this product or service.</v>
      </c>
      <c r="F42" s="48" t="str">
        <f>VLOOKUP($A42,'Institution Evaluation'!$A$56:$F$345,6,0)&amp;""</f>
        <v/>
      </c>
      <c r="I42" s="7"/>
      <c r="J42" s="7"/>
    </row>
    <row r="43" spans="1:10" s="3" customFormat="1" ht="49.5" customHeight="1" x14ac:dyDescent="0.15">
      <c r="A43" s="36" t="s">
        <v>259</v>
      </c>
      <c r="B43" s="44" t="str">
        <f>VLOOKUP($A43,Questions!$A$2:$X$333,2,0)</f>
        <v>Does your application require users to set their own password after an administrator reset or on first use of the account?</v>
      </c>
      <c r="C43" s="45" t="s">
        <v>75</v>
      </c>
      <c r="D43" s="71"/>
      <c r="E43" s="47" t="str">
        <f>IF($C$19='Auto Responses'!$J$4,'Auto Responses'!$A$7,IF($C43='Auto Responses'!$J$3,VLOOKUP($A43,Questions!$A$2:$X$333,17,0)&amp;"",IF($C43='Auto Responses'!$J$4,VLOOKUP($A43,Questions!$A$2:$X$333,16,0)&amp;"",VLOOKUP($A43,Questions!$A$2:$X$333,15,0)&amp;"")))</f>
        <v>Based on the response to REQU-05 on the "START HERE" tab, this question does not apply to this product or service.</v>
      </c>
      <c r="F43" s="48" t="str">
        <f>VLOOKUP($A43,'Institution Evaluation'!$A$56:$F$345,6,0)&amp;""</f>
        <v/>
      </c>
      <c r="I43" s="7"/>
      <c r="J43" s="7"/>
    </row>
    <row r="44" spans="1:10" s="3" customFormat="1" ht="49.5" customHeight="1" x14ac:dyDescent="0.15">
      <c r="A44" s="36" t="s">
        <v>260</v>
      </c>
      <c r="B44" s="44" t="str">
        <f>VLOOKUP($A44,Questions!$A$2:$X$333,2,0)</f>
        <v>Does your application lock out an account after a number of failed login attempts?</v>
      </c>
      <c r="C44" s="45" t="s">
        <v>75</v>
      </c>
      <c r="D44" s="71"/>
      <c r="E44" s="47" t="str">
        <f>IF($C$19='Auto Responses'!$J$4,'Auto Responses'!$A$7,IF($C44='Auto Responses'!$J$3,VLOOKUP($A44,Questions!$A$2:$X$333,17,0)&amp;"",IF($C44='Auto Responses'!$J$4,VLOOKUP($A44,Questions!$A$2:$X$333,16,0)&amp;"",VLOOKUP($A44,Questions!$A$2:$X$333,15,0)&amp;"")))</f>
        <v>Based on the response to REQU-05 on the "START HERE" tab, this question does not apply to this product or service.</v>
      </c>
      <c r="F44" s="48" t="str">
        <f>VLOOKUP($A44,'Institution Evaluation'!$A$56:$F$345,6,0)&amp;""</f>
        <v/>
      </c>
      <c r="I44" s="7"/>
      <c r="J44" s="7"/>
    </row>
    <row r="45" spans="1:10" s="3" customFormat="1" ht="49.5" customHeight="1" x14ac:dyDescent="0.15">
      <c r="A45" s="36" t="s">
        <v>261</v>
      </c>
      <c r="B45" s="44" t="str">
        <f>VLOOKUP($A45,Questions!$A$2:$X$333,2,0)</f>
        <v>Does your application automatically lock or log-out an account after a period of inactivity?</v>
      </c>
      <c r="C45" s="45" t="s">
        <v>75</v>
      </c>
      <c r="D45" s="71"/>
      <c r="E45" s="47" t="str">
        <f>IF($C$19='Auto Responses'!$J$4,'Auto Responses'!$A$7,IF($C45='Auto Responses'!$J$3,VLOOKUP($A45,Questions!$A$2:$X$333,17,0)&amp;"",IF($C45='Auto Responses'!$J$4,VLOOKUP($A45,Questions!$A$2:$X$333,16,0)&amp;"",VLOOKUP($A45,Questions!$A$2:$X$333,15,0)&amp;"")))</f>
        <v>Based on the response to REQU-05 on the "START HERE" tab, this question does not apply to this product or service.</v>
      </c>
      <c r="F45" s="48" t="str">
        <f>VLOOKUP($A45,'Institution Evaluation'!$A$56:$F$345,6,0)&amp;""</f>
        <v/>
      </c>
      <c r="I45" s="7"/>
      <c r="J45" s="7"/>
    </row>
    <row r="46" spans="1:10" s="3" customFormat="1" ht="49.5" customHeight="1" x14ac:dyDescent="0.15">
      <c r="A46" s="36" t="s">
        <v>262</v>
      </c>
      <c r="B46" s="44" t="str">
        <f>VLOOKUP($A46,Questions!$A$2:$X$333,2,0)</f>
        <v>Are passwords visible in plain text, whether when stored or entered, including service level accounts (i.e., database accounts, etc.)?</v>
      </c>
      <c r="C46" s="45" t="s">
        <v>75</v>
      </c>
      <c r="D46" s="71"/>
      <c r="E46" s="47" t="str">
        <f>IF($C$19='Auto Responses'!$J$4,'Auto Responses'!$A$7,IF($C46='Auto Responses'!$J$3,VLOOKUP($A46,Questions!$A$2:$X$333,17,0)&amp;"",IF($C46='Auto Responses'!$J$4,VLOOKUP($A46,Questions!$A$2:$X$333,16,0)&amp;"",VLOOKUP($A46,Questions!$A$2:$X$333,15,0)&amp;"")))</f>
        <v>Based on the response to REQU-05 on the "START HERE" tab, this question does not apply to this product or service.</v>
      </c>
      <c r="F46" s="48" t="str">
        <f>VLOOKUP($A46,'Institution Evaluation'!$A$56:$F$345,6,0)&amp;""</f>
        <v/>
      </c>
      <c r="I46" s="7"/>
      <c r="J46" s="7"/>
    </row>
    <row r="47" spans="1:10" s="3" customFormat="1" ht="49.5" customHeight="1" x14ac:dyDescent="0.15">
      <c r="A47" s="36" t="s">
        <v>263</v>
      </c>
      <c r="B47" s="44" t="str">
        <f>VLOOKUP($A47,Questions!$A$2:$X$333,2,0)</f>
        <v>If the application is institution-hosted, can all service level and administrative account passwords be changed by the institution?</v>
      </c>
      <c r="C47" s="45" t="s">
        <v>75</v>
      </c>
      <c r="D47" s="71"/>
      <c r="E47" s="47" t="str">
        <f>IF($C$19='Auto Responses'!$J$4,'Auto Responses'!$A$7,IF($C47='Auto Responses'!$J$3,VLOOKUP($A47,Questions!$A$2:$X$333,17,0)&amp;"",IF($C47='Auto Responses'!$J$4,VLOOKUP($A47,Questions!$A$2:$X$333,16,0)&amp;"",VLOOKUP($A47,Questions!$A$2:$X$333,15,0)&amp;"")))</f>
        <v>Based on the response to REQU-05 on the "START HERE" tab, this question does not apply to this product or service.</v>
      </c>
      <c r="F47" s="48" t="str">
        <f>VLOOKUP($A47,'Institution Evaluation'!$A$56:$F$345,6,0)&amp;""</f>
        <v/>
      </c>
      <c r="I47" s="7"/>
      <c r="J47" s="7"/>
    </row>
    <row r="48" spans="1:10" s="3" customFormat="1" ht="49.5" customHeight="1" x14ac:dyDescent="0.15">
      <c r="A48" s="36" t="s">
        <v>264</v>
      </c>
      <c r="B48" s="44" t="str">
        <f>VLOOKUP($A48,Questions!$A$2:$X$333,2,0)</f>
        <v>Does your application provide the ability to define user access levels?</v>
      </c>
      <c r="C48" s="45" t="s">
        <v>75</v>
      </c>
      <c r="D48" s="71"/>
      <c r="E48" s="47" t="str">
        <f>IF($C$19='Auto Responses'!$J$4,'Auto Responses'!$A$7,IF($C48='Auto Responses'!$J$3,VLOOKUP($A48,Questions!$A$2:$X$333,17,0)&amp;"",IF($C48='Auto Responses'!$J$4,VLOOKUP($A48,Questions!$A$2:$X$333,16,0)&amp;"",VLOOKUP($A48,Questions!$A$2:$X$333,15,0)&amp;"")))</f>
        <v>Based on the response to REQU-05 on the "START HERE" tab, this question does not apply to this product or service.</v>
      </c>
      <c r="F48" s="48" t="str">
        <f>VLOOKUP($A48,'Institution Evaluation'!$A$56:$F$345,6,0)&amp;""</f>
        <v/>
      </c>
      <c r="I48" s="7"/>
      <c r="J48" s="7"/>
    </row>
    <row r="49" spans="1:10" s="3" customFormat="1" ht="49.5" customHeight="1" x14ac:dyDescent="0.15">
      <c r="A49" s="36" t="s">
        <v>265</v>
      </c>
      <c r="B49" s="44" t="str">
        <f>VLOOKUP($A49,Questions!$A$2:$X$333,2,0)</f>
        <v>Does your application support varying levels of access to administrative tasks defined individually per user?</v>
      </c>
      <c r="C49" s="45" t="s">
        <v>75</v>
      </c>
      <c r="D49" s="71"/>
      <c r="E49" s="47" t="str">
        <f>IF($C$19='Auto Responses'!$J$4,'Auto Responses'!$A$7,IF($C49='Auto Responses'!$J$3,VLOOKUP($A49,Questions!$A$2:$X$333,17,0)&amp;"",IF($C49='Auto Responses'!$J$4,VLOOKUP($A49,Questions!$A$2:$X$333,16,0)&amp;"",VLOOKUP($A49,Questions!$A$2:$X$333,15,0)&amp;"")))</f>
        <v>Based on the response to REQU-05 on the "START HERE" tab, this question does not apply to this product or service.</v>
      </c>
      <c r="F49" s="48" t="str">
        <f>VLOOKUP($A49,'Institution Evaluation'!$A$56:$F$345,6,0)&amp;""</f>
        <v/>
      </c>
      <c r="I49" s="7"/>
      <c r="J49" s="7"/>
    </row>
    <row r="50" spans="1:10" s="3" customFormat="1" ht="49.5" customHeight="1" x14ac:dyDescent="0.15">
      <c r="A50" s="36" t="s">
        <v>266</v>
      </c>
      <c r="B50" s="44" t="str">
        <f>VLOOKUP($A50,Questions!$A$2:$X$333,2,0)</f>
        <v>Does your application support varying levels of access to records based on user ID?</v>
      </c>
      <c r="C50" s="45" t="s">
        <v>75</v>
      </c>
      <c r="D50" s="71"/>
      <c r="E50" s="47" t="str">
        <f>IF($C$19='Auto Responses'!$J$4,'Auto Responses'!$A$7,IF($C50='Auto Responses'!$J$3,VLOOKUP($A50,Questions!$A$2:$X$333,17,0)&amp;"",IF($C50='Auto Responses'!$J$4,VLOOKUP($A50,Questions!$A$2:$X$333,16,0)&amp;"",VLOOKUP($A50,Questions!$A$2:$X$333,15,0)&amp;"")))</f>
        <v>Based on the response to REQU-05 on the "START HERE" tab, this question does not apply to this product or service.</v>
      </c>
      <c r="F50" s="48" t="str">
        <f>VLOOKUP($A50,'Institution Evaluation'!$A$56:$F$345,6,0)&amp;""</f>
        <v/>
      </c>
      <c r="I50" s="7"/>
      <c r="J50" s="7"/>
    </row>
    <row r="51" spans="1:10" s="3" customFormat="1" ht="49.5" customHeight="1" x14ac:dyDescent="0.15">
      <c r="A51" s="36" t="s">
        <v>267</v>
      </c>
      <c r="B51" s="44" t="str">
        <f>VLOOKUP($A51,Questions!$A$2:$X$333,2,0)</f>
        <v>Is there a limit to the number of groups to which a user can be assigned?</v>
      </c>
      <c r="C51" s="45" t="s">
        <v>75</v>
      </c>
      <c r="D51" s="71"/>
      <c r="E51" s="47" t="str">
        <f>IF($C$19='Auto Responses'!$J$4,'Auto Responses'!$A$7,IF($C51='Auto Responses'!$J$3,VLOOKUP($A51,Questions!$A$2:$X$333,17,0)&amp;"",IF($C51='Auto Responses'!$J$4,VLOOKUP($A51,Questions!$A$2:$X$333,16,0)&amp;"",VLOOKUP($A51,Questions!$A$2:$X$333,15,0)&amp;"")))</f>
        <v>Based on the response to REQU-05 on the "START HERE" tab, this question does not apply to this product or service.</v>
      </c>
      <c r="F51" s="48" t="str">
        <f>VLOOKUP($A51,'Institution Evaluation'!$A$56:$F$345,6,0)&amp;""</f>
        <v/>
      </c>
      <c r="I51" s="7"/>
      <c r="J51" s="7"/>
    </row>
    <row r="52" spans="1:10" s="3" customFormat="1" ht="49.5" customHeight="1" x14ac:dyDescent="0.15">
      <c r="A52" s="36" t="s">
        <v>268</v>
      </c>
      <c r="B52" s="44" t="str">
        <f>VLOOKUP($A52,Questions!$A$2:$X$333,2,0)</f>
        <v>Do accounts used for solution provider-supplied remote support abide by the same authentication policies and access logging as the rest of the system?</v>
      </c>
      <c r="C52" s="45" t="s">
        <v>75</v>
      </c>
      <c r="D52" s="71"/>
      <c r="E52" s="47" t="str">
        <f>IF($C$19='Auto Responses'!$J$4,'Auto Responses'!$A$7,IF($C52='Auto Responses'!$J$3,VLOOKUP($A52,Questions!$A$2:$X$333,17,0)&amp;"",IF($C52='Auto Responses'!$J$4,VLOOKUP($A52,Questions!$A$2:$X$333,16,0)&amp;"",VLOOKUP($A52,Questions!$A$2:$X$333,15,0)&amp;"")))</f>
        <v>Based on the response to REQU-05 on the "START HERE" tab, this question does not apply to this product or service.</v>
      </c>
      <c r="F52" s="48" t="str">
        <f>VLOOKUP($A52,'Institution Evaluation'!$A$56:$F$345,6,0)&amp;""</f>
        <v/>
      </c>
      <c r="I52" s="7"/>
      <c r="J52" s="7"/>
    </row>
    <row r="53" spans="1:10" s="3" customFormat="1" ht="49.5" customHeight="1" x14ac:dyDescent="0.15">
      <c r="A53" s="36" t="s">
        <v>269</v>
      </c>
      <c r="B53" s="44" t="str">
        <f>VLOOKUP($A53,Questions!$A$2:$X$333,2,0)</f>
        <v>Does the application log record access including specific user, date/time of access, and originating IP or device?</v>
      </c>
      <c r="C53" s="45" t="s">
        <v>75</v>
      </c>
      <c r="D53" s="71"/>
      <c r="E53" s="47" t="str">
        <f>IF($C$19='Auto Responses'!$J$4,'Auto Responses'!$A$7,IF($C53='Auto Responses'!$J$3,VLOOKUP($A53,Questions!$A$2:$X$333,17,0)&amp;"",IF($C53='Auto Responses'!$J$4,VLOOKUP($A53,Questions!$A$2:$X$333,16,0)&amp;"",VLOOKUP($A53,Questions!$A$2:$X$333,15,0)&amp;"")))</f>
        <v>Based on the response to REQU-05 on the "START HERE" tab, this question does not apply to this product or service.</v>
      </c>
      <c r="F53" s="48" t="str">
        <f>VLOOKUP($A53,'Institution Evaluation'!$A$56:$F$345,6,0)&amp;""</f>
        <v/>
      </c>
      <c r="I53" s="7"/>
      <c r="J53" s="7"/>
    </row>
    <row r="54" spans="1:10" s="3" customFormat="1" ht="49.5" customHeight="1" x14ac:dyDescent="0.15">
      <c r="A54" s="36" t="s">
        <v>270</v>
      </c>
      <c r="B54" s="44" t="str">
        <f>VLOOKUP($A54,Questions!$A$2:$X$333,2,0)</f>
        <v>Does the application log administrative activity, such as user account access changes and password changes, including specific user, date/time of changes, and originating IP or device?</v>
      </c>
      <c r="C54" s="45" t="s">
        <v>75</v>
      </c>
      <c r="D54" s="71"/>
      <c r="E54" s="47" t="str">
        <f>IF($C$19='Auto Responses'!$J$4,'Auto Responses'!$A$7,IF($C54='Auto Responses'!$J$3,VLOOKUP($A54,Questions!$A$2:$X$333,17,0)&amp;"",IF($C54='Auto Responses'!$J$4,VLOOKUP($A54,Questions!$A$2:$X$333,16,0)&amp;"",VLOOKUP($A54,Questions!$A$2:$X$333,15,0)&amp;"")))</f>
        <v>Based on the response to REQU-05 on the "START HERE" tab, this question does not apply to this product or service.</v>
      </c>
      <c r="F54" s="48" t="str">
        <f>VLOOKUP($A54,'Institution Evaluation'!$A$56:$F$345,6,0)&amp;""</f>
        <v/>
      </c>
      <c r="I54" s="7"/>
      <c r="J54" s="7"/>
    </row>
    <row r="55" spans="1:10" s="3" customFormat="1" ht="49.5" customHeight="1" x14ac:dyDescent="0.15">
      <c r="A55" s="36" t="s">
        <v>271</v>
      </c>
      <c r="B55" s="44" t="str">
        <f>VLOOKUP($A55,Questions!$A$2:$X$333,2,0)</f>
        <v>Do you retain logs for at least as long as required by HIPAA regulations?</v>
      </c>
      <c r="C55" s="45" t="s">
        <v>75</v>
      </c>
      <c r="D55" s="71"/>
      <c r="E55" s="47" t="str">
        <f>IF($C$19='Auto Responses'!$J$4,'Auto Responses'!$A$7,IF($C55='Auto Responses'!$J$3,VLOOKUP($A55,Questions!$A$2:$X$333,17,0)&amp;"",IF($C55='Auto Responses'!$J$4,VLOOKUP($A55,Questions!$A$2:$X$333,16,0)&amp;"",VLOOKUP($A55,Questions!$A$2:$X$333,15,0)&amp;"")))</f>
        <v>Based on the response to REQU-05 on the "START HERE" tab, this question does not apply to this product or service.</v>
      </c>
      <c r="F55" s="48" t="str">
        <f>VLOOKUP($A55,'Institution Evaluation'!$A$56:$F$345,6,0)&amp;""</f>
        <v/>
      </c>
      <c r="I55" s="7"/>
      <c r="J55" s="7"/>
    </row>
    <row r="56" spans="1:10" s="3" customFormat="1" ht="49.5" customHeight="1" x14ac:dyDescent="0.15">
      <c r="A56" s="36" t="s">
        <v>272</v>
      </c>
      <c r="B56" s="44" t="str">
        <f>VLOOKUP($A56,Questions!$A$2:$X$333,2,0)</f>
        <v>Can the application logs be archived?</v>
      </c>
      <c r="C56" s="45" t="s">
        <v>75</v>
      </c>
      <c r="D56" s="71"/>
      <c r="E56" s="47" t="str">
        <f>IF($C$19='Auto Responses'!$J$4,'Auto Responses'!$A$7,IF($C56='Auto Responses'!$J$3,VLOOKUP($A56,Questions!$A$2:$X$333,17,0)&amp;"",IF($C56='Auto Responses'!$J$4,VLOOKUP($A56,Questions!$A$2:$X$333,16,0)&amp;"",VLOOKUP($A56,Questions!$A$2:$X$333,15,0)&amp;"")))</f>
        <v>Based on the response to REQU-05 on the "START HERE" tab, this question does not apply to this product or service.</v>
      </c>
      <c r="F56" s="48" t="str">
        <f>VLOOKUP($A56,'Institution Evaluation'!$A$56:$F$345,6,0)&amp;""</f>
        <v/>
      </c>
      <c r="I56" s="7"/>
      <c r="J56" s="7"/>
    </row>
    <row r="57" spans="1:10" s="3" customFormat="1" ht="49.5" customHeight="1" x14ac:dyDescent="0.15">
      <c r="A57" s="36" t="s">
        <v>273</v>
      </c>
      <c r="B57" s="44" t="str">
        <f>VLOOKUP($A57,Questions!$A$2:$X$333,2,0)</f>
        <v>Can the application logs be saved externally?</v>
      </c>
      <c r="C57" s="45" t="s">
        <v>75</v>
      </c>
      <c r="D57" s="71"/>
      <c r="E57" s="47" t="str">
        <f>IF($C$19='Auto Responses'!$J$4,'Auto Responses'!$A$7,IF($C57='Auto Responses'!$J$3,VLOOKUP($A57,Questions!$A$2:$X$333,17,0)&amp;"",IF($C57='Auto Responses'!$J$4,VLOOKUP($A57,Questions!$A$2:$X$333,16,0)&amp;"",VLOOKUP($A57,Questions!$A$2:$X$333,15,0)&amp;"")))</f>
        <v>Based on the response to REQU-05 on the "START HERE" tab, this question does not apply to this product or service.</v>
      </c>
      <c r="F57" s="48" t="str">
        <f>VLOOKUP($A57,'Institution Evaluation'!$A$56:$F$345,6,0)&amp;""</f>
        <v/>
      </c>
      <c r="I57" s="7"/>
      <c r="J57" s="7"/>
    </row>
    <row r="58" spans="1:10" s="3" customFormat="1" ht="49.5" customHeight="1" x14ac:dyDescent="0.15">
      <c r="A58" s="36" t="s">
        <v>274</v>
      </c>
      <c r="B58" s="44" t="str">
        <f>VLOOKUP($A58,Questions!$A$2:$X$333,2,0)</f>
        <v>Do you have a disaster recovery plan and emergency mode operation plan?</v>
      </c>
      <c r="C58" s="45" t="s">
        <v>75</v>
      </c>
      <c r="D58" s="71"/>
      <c r="E58" s="47" t="str">
        <f>IF($C$19='Auto Responses'!$J$4,'Auto Responses'!$A$7,IF($C58='Auto Responses'!$J$3,VLOOKUP($A58,Questions!$A$2:$X$333,17,0)&amp;"",IF($C58='Auto Responses'!$J$4,VLOOKUP($A58,Questions!$A$2:$X$333,16,0)&amp;"",VLOOKUP($A58,Questions!$A$2:$X$333,15,0)&amp;"")))</f>
        <v>Based on the response to REQU-05 on the "START HERE" tab, this question does not apply to this product or service.</v>
      </c>
      <c r="F58" s="48" t="str">
        <f>VLOOKUP($A58,'Institution Evaluation'!$A$56:$F$345,6,0)&amp;""</f>
        <v/>
      </c>
      <c r="I58" s="7"/>
      <c r="J58" s="7"/>
    </row>
    <row r="59" spans="1:10" s="3" customFormat="1" ht="49.5" customHeight="1" x14ac:dyDescent="0.15">
      <c r="A59" s="36" t="s">
        <v>275</v>
      </c>
      <c r="B59" s="44" t="str">
        <f>VLOOKUP($A59,Questions!$A$2:$X$333,2,0)</f>
        <v>Can you provide a HIPAA compliance attestation document?</v>
      </c>
      <c r="C59" s="45" t="s">
        <v>75</v>
      </c>
      <c r="D59" s="71"/>
      <c r="E59" s="47" t="str">
        <f>IF($C$19='Auto Responses'!$J$4,'Auto Responses'!$A$7,IF($C59='Auto Responses'!$J$3,VLOOKUP($A59,Questions!$A$2:$X$333,17,0)&amp;"",IF($C59='Auto Responses'!$J$4,VLOOKUP($A59,Questions!$A$2:$X$333,16,0)&amp;"",VLOOKUP($A59,Questions!$A$2:$X$333,15,0)&amp;"")))</f>
        <v>Based on the response to REQU-05 on the "START HERE" tab, this question does not apply to this product or service.</v>
      </c>
      <c r="F59" s="48" t="str">
        <f>VLOOKUP($A59,'Institution Evaluation'!$A$56:$F$345,6,0)&amp;""</f>
        <v/>
      </c>
      <c r="I59" s="7"/>
      <c r="J59" s="7"/>
    </row>
    <row r="60" spans="1:10" s="3" customFormat="1" ht="49.5" customHeight="1" x14ac:dyDescent="0.15">
      <c r="A60" s="36" t="s">
        <v>276</v>
      </c>
      <c r="B60" s="44" t="str">
        <f>VLOOKUP($A60,Questions!$A$2:$X$333,2,0)</f>
        <v>Are you willing to enter into a Business Associate Agreement (BAA)?</v>
      </c>
      <c r="C60" s="45" t="s">
        <v>75</v>
      </c>
      <c r="D60" s="71"/>
      <c r="E60" s="47" t="str">
        <f>IF($C$19='Auto Responses'!$J$4,'Auto Responses'!$A$7,IF($C60='Auto Responses'!$J$3,VLOOKUP($A60,Questions!$A$2:$X$333,17,0)&amp;"",IF($C60='Auto Responses'!$J$4,VLOOKUP($A60,Questions!$A$2:$X$333,16,0)&amp;"",VLOOKUP($A60,Questions!$A$2:$X$333,15,0)&amp;"")))</f>
        <v>Based on the response to REQU-05 on the "START HERE" tab, this question does not apply to this product or service.</v>
      </c>
      <c r="F60" s="48" t="str">
        <f>VLOOKUP($A60,'Institution Evaluation'!$A$56:$F$345,6,0)&amp;""</f>
        <v/>
      </c>
      <c r="I60" s="7"/>
      <c r="J60" s="7"/>
    </row>
    <row r="61" spans="1:10" s="3" customFormat="1" ht="49.5" customHeight="1" x14ac:dyDescent="0.15">
      <c r="A61" s="36" t="s">
        <v>277</v>
      </c>
      <c r="B61" s="44" t="str">
        <f>VLOOKUP($A61,Questions!$A$2:$X$333,2,0)</f>
        <v>Do your data backup and retention policies and practices meet HIPAA requirements?</v>
      </c>
      <c r="C61" s="45" t="s">
        <v>75</v>
      </c>
      <c r="D61" s="71"/>
      <c r="E61" s="47" t="str">
        <f>IF($C$19='Auto Responses'!$J$4,'Auto Responses'!$A$7,IF($C61='Auto Responses'!$J$3,VLOOKUP($A61,Questions!$A$2:$X$333,17,0)&amp;"",IF($C61='Auto Responses'!$J$4,VLOOKUP($A61,Questions!$A$2:$X$333,16,0)&amp;"",VLOOKUP($A61,Questions!$A$2:$X$333,15,0)&amp;"")))</f>
        <v>Based on the response to REQU-05 on the "START HERE" tab, this question does not apply to this product or service.</v>
      </c>
      <c r="F61" s="48" t="str">
        <f>VLOOKUP($A61,'Institution Evaluation'!$A$56:$F$345,6,0)&amp;""</f>
        <v/>
      </c>
      <c r="G61" s="62" t="s">
        <v>35</v>
      </c>
      <c r="I61" s="7"/>
      <c r="J61" s="7"/>
    </row>
    <row r="62" spans="1:10" s="3" customFormat="1" ht="36.75" customHeight="1" x14ac:dyDescent="0.15">
      <c r="A62" s="32" t="str">
        <f>VLOOKUP(LEFT($A63,4),'Auto Responses'!$N$4:$O$38,2,0)&amp;""</f>
        <v xml:space="preserve"> Payment Card Industry Data Security Standard (PCI DSS)</v>
      </c>
      <c r="B62" s="41"/>
      <c r="C62" s="20" t="s">
        <v>21</v>
      </c>
      <c r="D62" s="20" t="s">
        <v>22</v>
      </c>
      <c r="E62" s="42" t="s">
        <v>23</v>
      </c>
      <c r="F62" s="53" t="s">
        <v>24</v>
      </c>
      <c r="I62" s="7"/>
      <c r="J62" s="7"/>
    </row>
    <row r="63" spans="1:10" s="3" customFormat="1" ht="38.25" customHeight="1" x14ac:dyDescent="0.15">
      <c r="A63" s="36" t="s">
        <v>278</v>
      </c>
      <c r="B63" s="44" t="str">
        <f>VLOOKUP($A63,Questions!$A$2:$X$333,2,0)</f>
        <v>Do you have a current, executed within the past year, Attestation of Compliance (AoC) or Report on Compliance (RoC)?*</v>
      </c>
      <c r="C63" s="45" t="s">
        <v>75</v>
      </c>
      <c r="D63" s="71"/>
      <c r="E63" s="47" t="str">
        <f>IF($C$20='Auto Responses'!$J$4,'Auto Responses'!$A$8,IF($C63='Auto Responses'!$J$3,VLOOKUP($A63,Questions!$A$2:$X$333,17,0)&amp;"",IF($C63='Auto Responses'!$J$4,VLOOKUP($A63,Questions!$A$2:$X$333,16,0)&amp;"",VLOOKUP($A63,Questions!$A$2:$X$333,15,0)&amp;"")))</f>
        <v>Based on the response to REQU-06 on the "START HERE" tab, this question does not apply to this product or service.</v>
      </c>
      <c r="F63" s="48" t="str">
        <f>VLOOKUP($A63,'Institution Evaluation'!$A$56:$F$345,6,0)&amp;""</f>
        <v/>
      </c>
      <c r="I63" s="7"/>
      <c r="J63" s="7"/>
    </row>
    <row r="64" spans="1:10" s="3" customFormat="1" ht="38.25" customHeight="1" x14ac:dyDescent="0.15">
      <c r="A64" s="36" t="s">
        <v>279</v>
      </c>
      <c r="B64" s="44" t="str">
        <f>VLOOKUP($A64,Questions!$A$2:$X$333,2,0)</f>
        <v>Is the application listed as an approved Payment Application Data Security Standard (PA-DSS) application?*</v>
      </c>
      <c r="C64" s="45" t="s">
        <v>75</v>
      </c>
      <c r="D64" s="71"/>
      <c r="E64" s="47" t="str">
        <f>IF($C$20='Auto Responses'!$J$4,'Auto Responses'!$A$8,IF($C64='Auto Responses'!$J$3,VLOOKUP($A64,Questions!$A$2:$X$333,17,0)&amp;"",IF($C64='Auto Responses'!$J$4,VLOOKUP($A64,Questions!$A$2:$X$333,16,0)&amp;"",VLOOKUP($A64,Questions!$A$2:$X$333,15,0)&amp;"")))</f>
        <v>Based on the response to REQU-06 on the "START HERE" tab, this question does not apply to this product or service.</v>
      </c>
      <c r="F64" s="48" t="str">
        <f>VLOOKUP($A64,'Institution Evaluation'!$A$56:$F$345,6,0)&amp;""</f>
        <v/>
      </c>
      <c r="I64" s="7"/>
      <c r="J64" s="7"/>
    </row>
    <row r="65" spans="1:10" s="3" customFormat="1" ht="38.25" customHeight="1" x14ac:dyDescent="0.15">
      <c r="A65" s="36" t="s">
        <v>280</v>
      </c>
      <c r="B65" s="44" t="str">
        <f>VLOOKUP($A65,Questions!$A$2:$X$333,2,0)</f>
        <v>Does the system or solutions use a third party to collect, store, process, or transmit cardholder (payment/credit/debt card) data?*</v>
      </c>
      <c r="C65" s="45" t="s">
        <v>75</v>
      </c>
      <c r="D65" s="71"/>
      <c r="E65" s="47" t="str">
        <f>IF($C$20='Auto Responses'!$J$4,'Auto Responses'!$A$8,IF($C65='Auto Responses'!$J$3,VLOOKUP($A65,Questions!$A$2:$X$333,17,0)&amp;"",IF($C65='Auto Responses'!$J$4,VLOOKUP($A65,Questions!$A$2:$X$333,16,0)&amp;"",VLOOKUP($A65,Questions!$A$2:$X$333,15,0)&amp;"")))</f>
        <v>Based on the response to REQU-06 on the "START HERE" tab, this question does not apply to this product or service.</v>
      </c>
      <c r="F65" s="48" t="str">
        <f>VLOOKUP($A65,'Institution Evaluation'!$A$56:$F$345,6,0)&amp;""</f>
        <v/>
      </c>
      <c r="I65" s="7"/>
      <c r="J65" s="7"/>
    </row>
    <row r="66" spans="1:10" s="3" customFormat="1" ht="38.25" customHeight="1" x14ac:dyDescent="0.15">
      <c r="A66" s="36" t="s">
        <v>281</v>
      </c>
      <c r="B66" s="44" t="str">
        <f>VLOOKUP($A66,Questions!$A$2:$X$333,2,0)</f>
        <v>Do your systems or solutions store, process, or transmit cardholder (payment/credit/debt card) data?</v>
      </c>
      <c r="C66" s="45" t="s">
        <v>75</v>
      </c>
      <c r="D66" s="71"/>
      <c r="E66" s="47" t="str">
        <f>IF($C$20='Auto Responses'!$J$4,'Auto Responses'!$A$8,IF($C66='Auto Responses'!$J$3,VLOOKUP($A66,Questions!$A$2:$X$333,17,0)&amp;"",IF($C66='Auto Responses'!$J$4,VLOOKUP($A66,Questions!$A$2:$X$333,16,0)&amp;"",VLOOKUP($A66,Questions!$A$2:$X$333,15,0)&amp;"")))</f>
        <v>Based on the response to REQU-06 on the "START HERE" tab, this question does not apply to this product or service.</v>
      </c>
      <c r="F66" s="48" t="str">
        <f>VLOOKUP($A66,'Institution Evaluation'!$A$56:$F$345,6,0)&amp;""</f>
        <v/>
      </c>
      <c r="I66" s="7"/>
      <c r="J66" s="7"/>
    </row>
    <row r="67" spans="1:10" s="3" customFormat="1" ht="38.25" customHeight="1" x14ac:dyDescent="0.15">
      <c r="A67" s="36" t="s">
        <v>282</v>
      </c>
      <c r="B67" s="44" t="str">
        <f>VLOOKUP($A67,Questions!$A$2:$X$333,2,0)</f>
        <v>Are you compliant with the Payment Card Industry Data Security Standard (PCI DSS)?</v>
      </c>
      <c r="C67" s="45" t="s">
        <v>75</v>
      </c>
      <c r="D67" s="71"/>
      <c r="E67" s="47" t="str">
        <f>IF($C$20='Auto Responses'!$J$4,'Auto Responses'!$A$8,IF($C67='Auto Responses'!$J$3,VLOOKUP($A67,Questions!$A$2:$X$333,17,0)&amp;"",IF($C67='Auto Responses'!$J$4,VLOOKUP($A67,Questions!$A$2:$X$333,16,0)&amp;"",VLOOKUP($A67,Questions!$A$2:$X$333,15,0)&amp;"")))</f>
        <v>Based on the response to REQU-06 on the "START HERE" tab, this question does not apply to this product or service.</v>
      </c>
      <c r="F67" s="48" t="str">
        <f>VLOOKUP($A67,'Institution Evaluation'!$A$56:$F$345,6,0)&amp;""</f>
        <v/>
      </c>
      <c r="I67" s="7"/>
      <c r="J67" s="7"/>
    </row>
    <row r="68" spans="1:10" s="3" customFormat="1" ht="38.25" customHeight="1" x14ac:dyDescent="0.15">
      <c r="A68" s="36" t="s">
        <v>283</v>
      </c>
      <c r="B68" s="44" t="str">
        <f>VLOOKUP($A68,Questions!$A$2:$X$333,2,0)</f>
        <v>Are you classified as a service provider?</v>
      </c>
      <c r="C68" s="45" t="s">
        <v>75</v>
      </c>
      <c r="D68" s="71"/>
      <c r="E68" s="47" t="str">
        <f>IF($C$20='Auto Responses'!$J$4,'Auto Responses'!$A$8,IF($C68='Auto Responses'!$J$3,VLOOKUP($A68,Questions!$A$2:$X$333,17,0)&amp;"",IF($C68='Auto Responses'!$J$4,VLOOKUP($A68,Questions!$A$2:$X$333,16,0)&amp;"",VLOOKUP($A68,Questions!$A$2:$X$333,15,0)&amp;"")))</f>
        <v>Based on the response to REQU-06 on the "START HERE" tab, this question does not apply to this product or service.</v>
      </c>
      <c r="F68" s="48" t="str">
        <f>VLOOKUP($A68,'Institution Evaluation'!$A$56:$F$345,6,0)&amp;""</f>
        <v/>
      </c>
      <c r="I68" s="7"/>
      <c r="J68" s="7"/>
    </row>
    <row r="69" spans="1:10" s="3" customFormat="1" ht="38.25" customHeight="1" x14ac:dyDescent="0.15">
      <c r="A69" s="36" t="s">
        <v>284</v>
      </c>
      <c r="B69" s="44" t="str">
        <f>VLOOKUP($A69,Questions!$A$2:$X$333,2,0)</f>
        <v>Are you on the list of Visa approved service providers?</v>
      </c>
      <c r="C69" s="45" t="s">
        <v>75</v>
      </c>
      <c r="D69" s="71"/>
      <c r="E69" s="47" t="str">
        <f>IF($C$20='Auto Responses'!$J$4,'Auto Responses'!$A$8,IF($C69='Auto Responses'!$J$3,VLOOKUP($A69,Questions!$A$2:$X$333,17,0)&amp;"",IF($C69='Auto Responses'!$J$4,VLOOKUP($A69,Questions!$A$2:$X$333,16,0)&amp;"",VLOOKUP($A69,Questions!$A$2:$X$333,15,0)&amp;"")))</f>
        <v>Based on the response to REQU-06 on the "START HERE" tab, this question does not apply to this product or service.</v>
      </c>
      <c r="F69" s="48" t="str">
        <f>VLOOKUP($A69,'Institution Evaluation'!$A$56:$F$345,6,0)&amp;""</f>
        <v/>
      </c>
      <c r="I69" s="7"/>
      <c r="J69" s="7"/>
    </row>
    <row r="70" spans="1:10" s="3" customFormat="1" ht="48" customHeight="1" x14ac:dyDescent="0.15">
      <c r="A70" s="36" t="s">
        <v>285</v>
      </c>
      <c r="B70" s="44" t="str">
        <f>VLOOKUP($A70,Questions!$A$2:$X$333,2,0)</f>
        <v>Are you classified as a merchant? If so, what level (1, 2, 3, 4)?</v>
      </c>
      <c r="C70" s="45" t="s">
        <v>75</v>
      </c>
      <c r="D70" s="71"/>
      <c r="E70" s="47" t="str">
        <f>IF($C$20='Auto Responses'!$J$4,'Auto Responses'!$A$8,IF($C70='Auto Responses'!$J$3,VLOOKUP($A70,Questions!$A$2:$X$333,17,0)&amp;"",IF($C70='Auto Responses'!$J$4,VLOOKUP($A70,Questions!$A$2:$X$333,16,0)&amp;"",VLOOKUP($A70,Questions!$A$2:$X$333,15,0)&amp;"")))</f>
        <v>Based on the response to REQU-06 on the "START HERE" tab, this question does not apply to this product or service.</v>
      </c>
      <c r="F70" s="48" t="str">
        <f>VLOOKUP($A70,'Institution Evaluation'!$A$56:$F$345,6,0)&amp;""</f>
        <v/>
      </c>
      <c r="I70" s="7"/>
      <c r="J70" s="7"/>
    </row>
    <row r="71" spans="1:10" s="3" customFormat="1" ht="38.25" customHeight="1" x14ac:dyDescent="0.15">
      <c r="A71" s="36" t="s">
        <v>286</v>
      </c>
      <c r="B71" s="44" t="str">
        <f>VLOOKUP($A71,Questions!$A$2:$X$333,2,0)</f>
        <v>Describe the architecture employed by the system to verify and authorize credit card transactions.</v>
      </c>
      <c r="C71" s="51" t="s">
        <v>75</v>
      </c>
      <c r="D71" s="71"/>
      <c r="E71" s="47" t="str">
        <f>IF($C$20='Auto Responses'!$J$4,'Auto Responses'!$A$8,IF($C71='Auto Responses'!$J$3,VLOOKUP($A71,Questions!$A$2:$X$333,17,0)&amp;"",IF($C71='Auto Responses'!$J$4,VLOOKUP($A71,Questions!$A$2:$X$333,16,0)&amp;"",VLOOKUP($A71,Questions!$A$2:$X$333,15,0)&amp;"")))</f>
        <v>Based on the response to REQU-06 on the "START HERE" tab, this question does not apply to this product or service.</v>
      </c>
      <c r="F71" s="48" t="str">
        <f>VLOOKUP($A71,'Institution Evaluation'!$A$56:$F$345,6,0)&amp;""</f>
        <v/>
      </c>
      <c r="I71" s="7"/>
      <c r="J71" s="7"/>
    </row>
    <row r="72" spans="1:10" s="3" customFormat="1" ht="38.25" customHeight="1" x14ac:dyDescent="0.15">
      <c r="A72" s="36" t="s">
        <v>287</v>
      </c>
      <c r="B72" s="44" t="str">
        <f>VLOOKUP($A72,Questions!$A$2:$X$333,2,0)</f>
        <v>What payment processors/gateways does the system support?</v>
      </c>
      <c r="C72" s="51" t="s">
        <v>75</v>
      </c>
      <c r="D72" s="71"/>
      <c r="E72" s="47" t="str">
        <f>IF($C$20='Auto Responses'!$J$4,'Auto Responses'!$A$8,IF($C72='Auto Responses'!$J$3,VLOOKUP($A72,Questions!$A$2:$X$333,17,0)&amp;"",IF($C72='Auto Responses'!$J$4,VLOOKUP($A72,Questions!$A$2:$X$333,16,0)&amp;"",VLOOKUP($A72,Questions!$A$2:$X$333,15,0)&amp;"")))</f>
        <v>Based on the response to REQU-06 on the "START HERE" tab, this question does not apply to this product or service.</v>
      </c>
      <c r="F72" s="48" t="str">
        <f>VLOOKUP($A72,'Institution Evaluation'!$A$56:$F$345,6,0)&amp;""</f>
        <v/>
      </c>
      <c r="I72" s="7"/>
      <c r="J72" s="7"/>
    </row>
    <row r="73" spans="1:10" s="3" customFormat="1" ht="38.25" customHeight="1" x14ac:dyDescent="0.15">
      <c r="A73" s="36" t="s">
        <v>288</v>
      </c>
      <c r="B73" s="44" t="str">
        <f>VLOOKUP($A73,Questions!$A$2:$X$333,2,0)</f>
        <v>Can the application be installed in a PCI DSS–compliant manner?</v>
      </c>
      <c r="C73" s="45" t="s">
        <v>75</v>
      </c>
      <c r="D73" s="71"/>
      <c r="E73" s="47" t="str">
        <f>IF($C$20='Auto Responses'!$J$4,'Auto Responses'!$A$8,IF($C73='Auto Responses'!$J$3,VLOOKUP($A73,Questions!$A$2:$X$333,17,0)&amp;"",IF($C73='Auto Responses'!$J$4,VLOOKUP($A73,Questions!$A$2:$X$333,16,0)&amp;"",VLOOKUP($A73,Questions!$A$2:$X$333,15,0)&amp;"")))</f>
        <v>Based on the response to REQU-06 on the "START HERE" tab, this question does not apply to this product or service.</v>
      </c>
      <c r="F73" s="48" t="str">
        <f>VLOOKUP($A73,'Institution Evaluation'!$A$56:$F$345,6,0)&amp;""</f>
        <v/>
      </c>
      <c r="I73" s="7"/>
      <c r="J73" s="7"/>
    </row>
    <row r="74" spans="1:10" s="3" customFormat="1" ht="71.25" customHeight="1" x14ac:dyDescent="0.15">
      <c r="A74" s="36" t="s">
        <v>289</v>
      </c>
      <c r="B74" s="44" t="str">
        <f>VLOOKUP($A74,Questions!$A$2:$X$333,2,0)</f>
        <v>Include documentation describing the system's abilities to comply with the PCI DSS and any features or capabilities of the system that must be added or changed in order to operate in compliance with the standards.</v>
      </c>
      <c r="C74" s="51" t="s">
        <v>75</v>
      </c>
      <c r="D74" s="71"/>
      <c r="E74" s="47" t="str">
        <f>IF($C$20='Auto Responses'!$J$4,'Auto Responses'!$A$8,IF($C74='Auto Responses'!$J$3,VLOOKUP($A74,Questions!$A$2:$X$333,17,0)&amp;"",IF($C74='Auto Responses'!$J$4,VLOOKUP($A74,Questions!$A$2:$X$333,16,0)&amp;"",VLOOKUP($A74,Questions!$A$2:$X$333,15,0)&amp;"")))</f>
        <v>Based on the response to REQU-06 on the "START HERE" tab, this question does not apply to this product or service.</v>
      </c>
      <c r="F74" s="48" t="str">
        <f>VLOOKUP($A74,'Institution Evaluation'!$A$56:$F$345,6,0)&amp;""</f>
        <v/>
      </c>
      <c r="G74" s="62" t="s">
        <v>35</v>
      </c>
      <c r="I74" s="7"/>
      <c r="J74" s="7"/>
    </row>
    <row r="75" spans="1:10" s="3" customFormat="1" ht="36.75" customHeight="1" x14ac:dyDescent="0.15">
      <c r="A75" s="32" t="str">
        <f>VLOOKUP(LEFT($A76,4),'Auto Responses'!$N$4:$O$38,2,0)&amp;""</f>
        <v xml:space="preserve"> On-Premises Data Solutions</v>
      </c>
      <c r="B75" s="41"/>
      <c r="C75" s="20" t="s">
        <v>21</v>
      </c>
      <c r="D75" s="20" t="s">
        <v>22</v>
      </c>
      <c r="E75" s="42" t="s">
        <v>23</v>
      </c>
      <c r="F75" s="53" t="s">
        <v>24</v>
      </c>
      <c r="I75" s="7"/>
      <c r="J75" s="7"/>
    </row>
    <row r="76" spans="1:10" s="3" customFormat="1" ht="36" customHeight="1" x14ac:dyDescent="0.15">
      <c r="A76" s="36" t="s">
        <v>290</v>
      </c>
      <c r="B76" s="44" t="str">
        <f>VLOOKUP($A76,Questions!$A$2:$X$333,2,0)</f>
        <v>Do you support role-based access control (RBAC) for system administrators?</v>
      </c>
      <c r="C76" s="45" t="s">
        <v>75</v>
      </c>
      <c r="D76" s="71"/>
      <c r="E76" s="47" t="str">
        <f>IF($C$21='Auto Responses'!$J$4,'Auto Responses'!$A$9,IF($C76='Auto Responses'!$J$3,VLOOKUP($A76,Questions!$A$2:$X$333,17,0)&amp;"",IF($C76='Auto Responses'!$J$4,VLOOKUP($A76,Questions!$A$2:$X$333,16,0)&amp;"",VLOOKUP($A76,Questions!$A$2:$X$333,15,0)&amp;"")))</f>
        <v>Based on the response to REQU-07 on the "START HERE" tab, this question does not apply to this product or service.</v>
      </c>
      <c r="F76" s="48" t="str">
        <f>VLOOKUP($A76,'Institution Evaluation'!$A$56:$F$345,6,0)&amp;""</f>
        <v/>
      </c>
      <c r="I76" s="7"/>
      <c r="J76" s="7"/>
    </row>
    <row r="77" spans="1:10" s="3" customFormat="1" ht="28.5" customHeight="1" x14ac:dyDescent="0.15">
      <c r="A77" s="36" t="s">
        <v>291</v>
      </c>
      <c r="B77" s="44" t="str">
        <f>VLOOKUP($A77,Questions!$A$2:$X$333,2,0)</f>
        <v>Can your employees access customer systems remotely?</v>
      </c>
      <c r="C77" s="45" t="s">
        <v>75</v>
      </c>
      <c r="D77" s="71"/>
      <c r="E77" s="47" t="str">
        <f>IF($C$21='Auto Responses'!$J$4,'Auto Responses'!$A$9,IF($C77='Auto Responses'!$J$3,VLOOKUP($A77,Questions!$A$2:$X$333,17,0)&amp;"",IF($C77='Auto Responses'!$J$4,VLOOKUP($A77,Questions!$A$2:$X$333,16,0)&amp;"",VLOOKUP($A77,Questions!$A$2:$X$333,15,0)&amp;"")))</f>
        <v>Based on the response to REQU-07 on the "START HERE" tab, this question does not apply to this product or service.</v>
      </c>
      <c r="F77" s="48" t="str">
        <f>VLOOKUP($A77,'Institution Evaluation'!$A$56:$F$345,6,0)&amp;""</f>
        <v/>
      </c>
      <c r="I77" s="7"/>
      <c r="J77" s="7"/>
    </row>
    <row r="78" spans="1:10" s="3" customFormat="1" ht="68.25" customHeight="1" x14ac:dyDescent="0.15">
      <c r="A78" s="36" t="s">
        <v>292</v>
      </c>
      <c r="B78" s="44" t="str">
        <f>VLOOKUP($A78,Questions!$A$2:$X$333,2,0)</f>
        <v>Can you provide overall system and/or application architecture diagrams including a full description of the data communications architecture for all components of the system?</v>
      </c>
      <c r="C78" s="45" t="s">
        <v>75</v>
      </c>
      <c r="D78" s="71"/>
      <c r="E78" s="47" t="str">
        <f>IF($C$21='Auto Responses'!$J$4,'Auto Responses'!$A$9,IF($C78='Auto Responses'!$J$3,VLOOKUP($A78,Questions!$A$2:$X$333,17,0)&amp;"",IF($C78='Auto Responses'!$J$4,VLOOKUP($A78,Questions!$A$2:$X$333,16,0)&amp;"",VLOOKUP($A78,Questions!$A$2:$X$333,15,0)&amp;"")))</f>
        <v>Based on the response to REQU-07 on the "START HERE" tab, this question does not apply to this product or service.</v>
      </c>
      <c r="F78" s="48" t="str">
        <f>VLOOKUP($A78,'Institution Evaluation'!$A$56:$F$345,6,0)&amp;""</f>
        <v/>
      </c>
      <c r="I78" s="7"/>
      <c r="J78" s="7"/>
    </row>
    <row r="79" spans="1:10" s="3" customFormat="1" ht="46.5" customHeight="1" x14ac:dyDescent="0.15">
      <c r="A79" s="36" t="s">
        <v>293</v>
      </c>
      <c r="B79" s="44" t="str">
        <f>VLOOKUP($A79,Questions!$A$2:$X$333,2,0)</f>
        <v>Do you require remote management of the system?</v>
      </c>
      <c r="C79" s="45" t="s">
        <v>75</v>
      </c>
      <c r="D79" s="71"/>
      <c r="E79" s="47" t="str">
        <f>IF($C$21='Auto Responses'!$J$4,'Auto Responses'!$A$9,IF($C79='Auto Responses'!$J$3,VLOOKUP($A79,Questions!$A$2:$X$333,17,0)&amp;"",IF($C79='Auto Responses'!$J$4,VLOOKUP($A79,Questions!$A$2:$X$333,16,0)&amp;"",VLOOKUP($A79,Questions!$A$2:$X$333,15,0)&amp;"")))</f>
        <v>Based on the response to REQU-07 on the "START HERE" tab, this question does not apply to this product or service.</v>
      </c>
      <c r="F79" s="48" t="str">
        <f>VLOOKUP($A79,'Institution Evaluation'!$A$56:$F$345,6,0)&amp;""</f>
        <v/>
      </c>
      <c r="I79" s="7"/>
      <c r="J79" s="7"/>
    </row>
    <row r="80" spans="1:10" s="3" customFormat="1" ht="60" customHeight="1" x14ac:dyDescent="0.15">
      <c r="A80" s="36" t="s">
        <v>294</v>
      </c>
      <c r="B80" s="44" t="str">
        <f>VLOOKUP($A80,Questions!$A$2:$X$333,2,0)</f>
        <v>If you answered "yes" to OPEM-04, are your remote actions and changes logged or otherwise visible to the campus?</v>
      </c>
      <c r="C80" s="45" t="s">
        <v>75</v>
      </c>
      <c r="D80" s="71"/>
      <c r="E80" s="47" t="str">
        <f>IF($C$21='Auto Responses'!$J$4,'Auto Responses'!$A$9,IF($C80='Auto Responses'!$J$3,VLOOKUP($A80,Questions!$A$2:$X$333,17,0)&amp;"",IF($C80='Auto Responses'!$J$4,VLOOKUP($A80,Questions!$A$2:$X$333,16,0)&amp;"",IF($C80='Auto Responses'!$J$5,VLOOKUP($A80,Questions!$A$2:$X$333,18,0)&amp;"",VLOOKUP($A80,Questions!$A$2:$X$333,15,0)&amp;""))))</f>
        <v>Based on the response to REQU-07 on the "START HERE" tab, this question does not apply to this product or service.</v>
      </c>
      <c r="F80" s="48" t="str">
        <f>VLOOKUP($A80,'Institution Evaluation'!$A$56:$F$345,6,0)&amp;""</f>
        <v/>
      </c>
      <c r="I80" s="7"/>
      <c r="J80" s="7"/>
    </row>
    <row r="81" spans="1:12" s="3" customFormat="1" ht="47.25" customHeight="1" x14ac:dyDescent="0.15">
      <c r="A81" s="36" t="s">
        <v>295</v>
      </c>
      <c r="B81" s="44" t="str">
        <f>VLOOKUP($A81,Questions!$A$2:$X$333,2,0)</f>
        <v>If you maintain remote access to the system, will you handle data in a FERPA-compliant manner?</v>
      </c>
      <c r="C81" s="45" t="s">
        <v>75</v>
      </c>
      <c r="D81" s="71"/>
      <c r="E81" s="47" t="str">
        <f>IF($C$21='Auto Responses'!$J$4,'Auto Responses'!$A$9,IF($C81='Auto Responses'!$J$3,VLOOKUP($A81,Questions!$A$2:$X$333,17,0)&amp;"",IF($C81='Auto Responses'!$J$4,VLOOKUP($A81,Questions!$A$2:$X$333,16,0)&amp;"",IF($C81='Auto Responses'!$J$5,VLOOKUP($A81,Questions!$A$2:$X$333,18,0)&amp;"",VLOOKUP($A81,Questions!$A$2:$X$333,15,0)&amp;""))))</f>
        <v>Based on the response to REQU-07 on the "START HERE" tab, this question does not apply to this product or service.</v>
      </c>
      <c r="F81" s="48" t="str">
        <f>VLOOKUP($A81,'Institution Evaluation'!$A$56:$F$345,6,0)&amp;""</f>
        <v/>
      </c>
      <c r="I81" s="7"/>
      <c r="J81" s="7"/>
    </row>
    <row r="82" spans="1:12" s="3" customFormat="1" ht="43.5" customHeight="1" x14ac:dyDescent="0.15">
      <c r="A82" s="36" t="s">
        <v>296</v>
      </c>
      <c r="B82" s="44" t="str">
        <f>VLOOKUP($A82,Questions!$A$2:$X$333,2,0)</f>
        <v>Do you support campus status monitoring through SNMPv3 or other means?</v>
      </c>
      <c r="C82" s="45" t="s">
        <v>75</v>
      </c>
      <c r="D82" s="71"/>
      <c r="E82" s="47" t="str">
        <f>IF($C$21='Auto Responses'!$J$4,'Auto Responses'!$A$9,IF($C82='Auto Responses'!$J$3,VLOOKUP($A82,Questions!$A$2:$X$333,17,0)&amp;"",IF($C82='Auto Responses'!$J$4,VLOOKUP($A82,Questions!$A$2:$X$333,16,0)&amp;"",VLOOKUP($A82,Questions!$A$2:$X$333,15,0)&amp;"")))</f>
        <v>Based on the response to REQU-07 on the "START HERE" tab, this question does not apply to this product or service.</v>
      </c>
      <c r="F82" s="48" t="str">
        <f>VLOOKUP($A82,'Institution Evaluation'!$A$56:$F$345,6,0)&amp;""</f>
        <v/>
      </c>
      <c r="I82" s="7"/>
      <c r="J82" s="7"/>
    </row>
    <row r="83" spans="1:12" s="3" customFormat="1" ht="42" customHeight="1" x14ac:dyDescent="0.15">
      <c r="A83" s="36" t="s">
        <v>297</v>
      </c>
      <c r="B83" s="44" t="str">
        <f>VLOOKUP($A83,Questions!$A$2:$X$333,2,0)</f>
        <v>Describe or provide a reference to any other safeguards used to monitor for malicious activity.</v>
      </c>
      <c r="C83" s="49" t="s">
        <v>75</v>
      </c>
      <c r="D83" s="71"/>
      <c r="E83" s="47" t="str">
        <f>IF($C$21='Auto Responses'!$J$4,'Auto Responses'!$A$9,IF($C83='Auto Responses'!$J$3,VLOOKUP($A83,Questions!$A$2:$X$333,17,0)&amp;"",IF($C83='Auto Responses'!$J$4,VLOOKUP($A83,Questions!$A$2:$X$333,16,0)&amp;"",VLOOKUP($A83,Questions!$A$2:$X$333,15,0)&amp;"")))</f>
        <v>Based on the response to REQU-07 on the "START HERE" tab, this question does not apply to this product or service.</v>
      </c>
      <c r="F83" s="48" t="str">
        <f>VLOOKUP($A83,'Institution Evaluation'!$A$56:$F$345,6,0)&amp;""</f>
        <v/>
      </c>
      <c r="I83" s="7"/>
      <c r="J83" s="7"/>
    </row>
    <row r="84" spans="1:12" s="3" customFormat="1" ht="54" customHeight="1" x14ac:dyDescent="0.15">
      <c r="A84" s="36" t="s">
        <v>298</v>
      </c>
      <c r="B84" s="44" t="str">
        <f>VLOOKUP($A84,Questions!$A$2:$X$333,2,0)</f>
        <v>Describe how long your organization has conducted business in this area.</v>
      </c>
      <c r="C84" s="49" t="s">
        <v>75</v>
      </c>
      <c r="D84" s="71"/>
      <c r="E84" s="47" t="str">
        <f>IF($C$21='Auto Responses'!$J$4,'Auto Responses'!$A$9,IF($C84='Auto Responses'!$J$3,VLOOKUP($A84,Questions!$A$2:$X$333,17,0)&amp;"",IF($C84='Auto Responses'!$J$4,VLOOKUP($A84,Questions!$A$2:$X$333,16,0)&amp;"",VLOOKUP($A84,Questions!$A$2:$X$333,15,0)&amp;"")))</f>
        <v>Based on the response to REQU-07 on the "START HERE" tab, this question does not apply to this product or service.</v>
      </c>
      <c r="F84" s="48" t="str">
        <f>VLOOKUP($A84,'Institution Evaluation'!$A$56:$F$345,6,0)&amp;""</f>
        <v/>
      </c>
      <c r="I84" s="7"/>
      <c r="J84" s="7"/>
    </row>
    <row r="85" spans="1:12" s="3" customFormat="1" ht="39.75" customHeight="1" x14ac:dyDescent="0.15">
      <c r="A85" s="36" t="s">
        <v>299</v>
      </c>
      <c r="B85" s="44" t="str">
        <f>VLOOKUP($A85,Questions!$A$2:$X$333,2,0)</f>
        <v>Do you have existing higher education customers?</v>
      </c>
      <c r="C85" s="45" t="s">
        <v>75</v>
      </c>
      <c r="D85" s="71"/>
      <c r="E85" s="47" t="str">
        <f>IF($C$21='Auto Responses'!$J$4,'Auto Responses'!$A$9,IF($C85='Auto Responses'!$J$3,VLOOKUP($A85,Questions!$A$2:$X$333,17,0)&amp;"",IF($C85='Auto Responses'!$J$4,VLOOKUP($A85,Questions!$A$2:$X$333,16,0)&amp;"",VLOOKUP($A85,Questions!$A$2:$X$333,15,0)&amp;"")))</f>
        <v>Based on the response to REQU-07 on the "START HERE" tab, this question does not apply to this product or service.</v>
      </c>
      <c r="F85" s="48" t="str">
        <f>VLOOKUP($A85,'Institution Evaluation'!$A$56:$F$345,6,0)&amp;""</f>
        <v/>
      </c>
      <c r="G85" s="62" t="s">
        <v>35</v>
      </c>
      <c r="I85" s="7"/>
      <c r="J85" s="7"/>
    </row>
    <row r="86" spans="1:12" s="3" customFormat="1" ht="36.75" customHeight="1" x14ac:dyDescent="0.15">
      <c r="A86" s="63" t="s">
        <v>53</v>
      </c>
      <c r="C86" s="4"/>
      <c r="D86" s="5"/>
      <c r="E86" s="6"/>
      <c r="I86" s="7"/>
      <c r="J86" s="7"/>
    </row>
    <row r="87" spans="1:12" ht="15" hidden="1" customHeight="1" x14ac:dyDescent="0.2">
      <c r="A87" s="3"/>
      <c r="B87" s="4"/>
      <c r="C87" s="77"/>
      <c r="D87" s="6"/>
      <c r="E87" s="3"/>
      <c r="H87" s="7"/>
      <c r="I87" s="3"/>
      <c r="J87" s="3"/>
      <c r="L87"/>
    </row>
    <row r="88" spans="1:12" hidden="1" x14ac:dyDescent="0.2">
      <c r="A88" s="36" t="e">
        <f>#REF!</f>
        <v>#REF!</v>
      </c>
    </row>
    <row r="89" spans="1:12" hidden="1" x14ac:dyDescent="0.2">
      <c r="A89" s="36" t="e">
        <f>#REF!</f>
        <v>#REF!</v>
      </c>
    </row>
    <row r="90" spans="1:12" hidden="1" x14ac:dyDescent="0.2">
      <c r="A90" s="36" t="e">
        <f>#REF!</f>
        <v>#REF!</v>
      </c>
    </row>
    <row r="91" spans="1:12" hidden="1" x14ac:dyDescent="0.2">
      <c r="A91" s="36" t="e">
        <f>#REF!</f>
        <v>#REF!</v>
      </c>
    </row>
    <row r="92" spans="1:12" hidden="1" x14ac:dyDescent="0.2">
      <c r="A92" s="36" t="e">
        <f>#REF!</f>
        <v>#REF!</v>
      </c>
    </row>
    <row r="93" spans="1:12" hidden="1" x14ac:dyDescent="0.2">
      <c r="A93" s="36" t="e">
        <f>#REF!</f>
        <v>#REF!</v>
      </c>
    </row>
    <row r="94" spans="1:12" hidden="1" x14ac:dyDescent="0.2">
      <c r="A94" s="36" t="e">
        <f>#REF!</f>
        <v>#REF!</v>
      </c>
    </row>
  </sheetData>
  <dataValidations count="3">
    <dataValidation allowBlank="1" showInputMessage="1" showErrorMessage="1" promptTitle="Warning!" prompt="The HECVAT is built using a number of complex formulas. Editing this cell can break the functionality of the tool. " sqref="B2:F2 A3:B86 D3:F3 C4:F12 C17:F17 E18:F21 C22:F22 E23:F31 C32:F32 E33:F61 C62:F62 E63:F74 C75:F75 E76:F85" xr:uid="{00000000-0002-0000-0500-000000000000}">
      <formula1>0</formula1>
      <formula2>0</formula2>
    </dataValidation>
    <dataValidation allowBlank="1" showInputMessage="1" showErrorMessage="1" prompt="This cell should be left blank. Input your answer in column C." sqref="D55 D71:D72 D74 D83:D84" xr:uid="{00000000-0002-0000-0500-000001000000}">
      <formula1>0</formula1>
      <formula2>0</formula2>
    </dataValidation>
    <dataValidation allowBlank="1" showInputMessage="1" showErrorMessage="1" prompt="This answer has been populated from the &quot;START HERE&quot; tab and does not need to be re-entered." sqref="C3 C13:C16 C18:C21" xr:uid="{00000000-0002-0000-0500-000002000000}">
      <formula1>0</formula1>
      <formula2>0</formula2>
    </dataValidation>
  </dataValidations>
  <hyperlinks>
    <hyperlink ref="A11" r:id="rId1" display="http://www.educause.edu/HECVAT"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636C"/>
  </sheetPr>
  <dimension ref="A1:L1048576"/>
  <sheetViews>
    <sheetView showGridLines="0" topLeftCell="A21" workbookViewId="0"/>
  </sheetViews>
  <sheetFormatPr baseColWidth="10" defaultColWidth="0" defaultRowHeight="16" x14ac:dyDescent="0.2"/>
  <cols>
    <col min="1" max="1" width="8.25" style="2" customWidth="1"/>
    <col min="2" max="2" width="55.125" style="3" customWidth="1"/>
    <col min="3" max="3" width="20.5" style="4" customWidth="1"/>
    <col min="4" max="4" width="55.625" style="5" customWidth="1"/>
    <col min="5" max="5" width="32" style="6" customWidth="1"/>
    <col min="6" max="6" width="30.625" style="87" customWidth="1"/>
    <col min="7" max="7" width="18" style="3" customWidth="1"/>
    <col min="8" max="8" width="18" style="3" hidden="1" customWidth="1"/>
    <col min="9" max="10" width="18" style="7" hidden="1" customWidth="1"/>
    <col min="11" max="11" width="4.5" style="3" hidden="1" customWidth="1"/>
    <col min="12" max="12" width="6.625" style="3" hidden="1"/>
    <col min="13" max="16384" width="6.625" style="2" hidden="1"/>
  </cols>
  <sheetData>
    <row r="1" spans="1:10" ht="221" hidden="1" x14ac:dyDescent="0.2">
      <c r="A1" t="s">
        <v>0</v>
      </c>
    </row>
    <row r="2" spans="1:10" ht="36" customHeight="1" x14ac:dyDescent="0.2">
      <c r="A2" s="8" t="s">
        <v>300</v>
      </c>
      <c r="B2" s="8"/>
      <c r="C2" s="9"/>
      <c r="D2" s="10"/>
      <c r="E2" s="11"/>
      <c r="F2" s="88" t="str">
        <f>'Auto Responses'!$A$36</f>
        <v>Version 4.1.6</v>
      </c>
      <c r="J2" s="3"/>
    </row>
    <row r="3" spans="1:10" s="3" customFormat="1" ht="28.5" customHeight="1" x14ac:dyDescent="0.15">
      <c r="A3" s="12" t="s">
        <v>2</v>
      </c>
      <c r="B3" s="13">
        <v>46282</v>
      </c>
      <c r="C3" s="64">
        <f>'START HERE'!$C$3</f>
        <v>0</v>
      </c>
      <c r="D3" s="15"/>
      <c r="E3" s="16"/>
      <c r="F3" s="17"/>
      <c r="I3" s="7"/>
    </row>
    <row r="4" spans="1:10" s="3" customFormat="1" ht="36" customHeight="1" x14ac:dyDescent="0.15">
      <c r="A4" s="18" t="s">
        <v>3</v>
      </c>
      <c r="B4" s="19"/>
      <c r="C4" s="20"/>
      <c r="D4" s="21"/>
      <c r="E4" s="22"/>
      <c r="F4" s="22"/>
      <c r="I4" s="7"/>
    </row>
    <row r="5" spans="1:10"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10"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10"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10" s="3" customFormat="1" ht="19.5" customHeight="1" x14ac:dyDescent="0.15">
      <c r="A8" s="23" t="str">
        <f>HLOOKUP($A$4,'Auto Responses'!$D$2:$D$8,5,0)&amp;""</f>
        <v>4. DO NOT complete any fields in the "Evaluation" sheets or the "Analyst Notes" column.</v>
      </c>
      <c r="B8" s="24"/>
      <c r="C8" s="25"/>
      <c r="D8" s="26"/>
      <c r="E8" s="24"/>
      <c r="F8" s="28"/>
      <c r="I8" s="7"/>
    </row>
    <row r="9" spans="1:10" s="3" customFormat="1" ht="19.5" customHeight="1" x14ac:dyDescent="0.15">
      <c r="A9" s="23" t="str">
        <f>HLOOKUP($A$4,'Auto Responses'!$D$2:$D$8,6,0)&amp;""</f>
        <v>5. Return the completed file to institutions.</v>
      </c>
      <c r="B9" s="24"/>
      <c r="C9" s="25"/>
      <c r="D9" s="26"/>
      <c r="E9" s="24"/>
      <c r="F9" s="28"/>
      <c r="I9" s="7"/>
    </row>
    <row r="10" spans="1:10"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10" s="3" customFormat="1" ht="19.5" customHeight="1" x14ac:dyDescent="0.15">
      <c r="A11" s="30" t="str">
        <f>HLOOKUP($A$4,'Auto Responses'!$D$2:$D$9,8,0)&amp;""</f>
        <v>For full instructions, please visit educause.edu/HECVAT</v>
      </c>
      <c r="B11" s="24"/>
      <c r="C11" s="25"/>
      <c r="D11" s="26"/>
      <c r="E11" s="24"/>
      <c r="F11" s="31"/>
      <c r="I11" s="7"/>
    </row>
    <row r="12" spans="1:10" s="3" customFormat="1" ht="36" customHeight="1" x14ac:dyDescent="0.15">
      <c r="A12" s="32" t="str">
        <f>VLOOKUP(LEFT($A13,4),'Auto Responses'!$N$4:$O$38,2,0)&amp;""</f>
        <v xml:space="preserve"> General Information</v>
      </c>
      <c r="B12" s="19"/>
      <c r="C12" s="20" t="s">
        <v>21</v>
      </c>
      <c r="D12" s="34"/>
      <c r="E12" s="35"/>
      <c r="F12" s="35"/>
      <c r="I12" s="7"/>
      <c r="J12" s="7"/>
    </row>
    <row r="13" spans="1:10" s="3" customFormat="1" ht="21.75" customHeight="1" x14ac:dyDescent="0.15">
      <c r="A13" s="36" t="s">
        <v>4</v>
      </c>
      <c r="B13" s="37" t="str">
        <f>VLOOKUP($A13,Questions!$A$2:$X$333,2,0)&amp;""</f>
        <v>Solution Provider Name</v>
      </c>
      <c r="C13" s="38" t="str">
        <f>VLOOKUP($A13,'START HERE'!$A$13:$C$21,3,0)&amp;""</f>
        <v>SmartPLS GmbH</v>
      </c>
      <c r="D13" s="39"/>
      <c r="E13" s="39"/>
      <c r="F13" s="17"/>
      <c r="I13" s="7"/>
      <c r="J13" s="7"/>
    </row>
    <row r="14" spans="1:10" s="3" customFormat="1" ht="21.75" customHeight="1" x14ac:dyDescent="0.15">
      <c r="A14" s="36" t="s">
        <v>6</v>
      </c>
      <c r="B14" s="37" t="str">
        <f>VLOOKUP($A14,Questions!$A$2:$X$333,2,0)&amp;""</f>
        <v>Solution Name</v>
      </c>
      <c r="C14" s="38" t="str">
        <f>VLOOKUP($A14,'START HERE'!$A$13:$C$21,3,0)&amp;""</f>
        <v>SmartPLS 4.1.1.9 (SmartPLS Desktop)</v>
      </c>
      <c r="D14" s="39"/>
      <c r="E14" s="39"/>
      <c r="F14" s="17"/>
      <c r="I14" s="7"/>
      <c r="J14" s="7"/>
    </row>
    <row r="15" spans="1:10" s="3" customFormat="1" ht="21.75" customHeight="1" x14ac:dyDescent="0.15">
      <c r="A15" s="36" t="s">
        <v>7</v>
      </c>
      <c r="B15" s="37"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39"/>
      <c r="E15" s="39"/>
      <c r="F15" s="17"/>
      <c r="I15" s="7"/>
      <c r="J15" s="7"/>
    </row>
    <row r="16" spans="1:10" s="3" customFormat="1" ht="21.75" customHeight="1" x14ac:dyDescent="0.15">
      <c r="A16" s="36" t="s">
        <v>17</v>
      </c>
      <c r="B16" s="37" t="str">
        <f>VLOOKUP($A16,Questions!$A$2:$X$333,2,0)&amp;""</f>
        <v>Country of Company Headquarters</v>
      </c>
      <c r="C16" s="38" t="str">
        <f>VLOOKUP($A16,'START HERE'!$A$13:$C$21,3,0)&amp;""</f>
        <v>Germany</v>
      </c>
      <c r="D16" s="39"/>
      <c r="E16" s="39"/>
      <c r="F16" s="17"/>
      <c r="I16" s="7"/>
      <c r="J16" s="7"/>
    </row>
    <row r="17" spans="1:10" s="3" customFormat="1" ht="36.75" customHeight="1" x14ac:dyDescent="0.15">
      <c r="A17" s="32" t="str">
        <f>VLOOKUP(LEFT($A18,4),'Auto Responses'!$N$4:$O$38,2,0)&amp;""</f>
        <v xml:space="preserve"> Required Questions</v>
      </c>
      <c r="B17" s="41"/>
      <c r="C17" s="20" t="s">
        <v>21</v>
      </c>
      <c r="D17" s="20" t="s">
        <v>22</v>
      </c>
      <c r="E17" s="42" t="s">
        <v>23</v>
      </c>
      <c r="F17" s="89" t="s">
        <v>24</v>
      </c>
      <c r="I17" s="7"/>
      <c r="J17" s="7"/>
    </row>
    <row r="18" spans="1:10" s="3" customFormat="1" ht="38.25" customHeight="1" x14ac:dyDescent="0.15">
      <c r="A18" s="36" t="s">
        <v>42</v>
      </c>
      <c r="B18" s="44" t="str">
        <f>VLOOKUP($A18,Questions!$A$2:$X$333,2,0)</f>
        <v>Does your solution have AI features, or are there plans to implement AI features in the next 12 months?</v>
      </c>
      <c r="C18" s="74" t="str">
        <f>VLOOKUP($A18,'START HERE'!$A$23:$F$36,3,0)&amp;""</f>
        <v>No</v>
      </c>
      <c r="D18" s="75" t="str">
        <f>VLOOKUP($A18,'START HERE'!$A$23:$F$36,4,0)&amp;""</f>
        <v>SmartPLS Desktop has no AI or machine-learning features, and none are planned in the next 12 months.</v>
      </c>
      <c r="E18" s="47" t="str">
        <f>IF($C18='Auto Responses'!$J$3,VLOOKUP($A18,Questions!$A$2:$X$333,17,0)&amp;"",IF($C18='Auto Responses'!$J$4,VLOOKUP($A18,Questions!$A$2:$X$333,16,0)&amp;"",VLOOKUP($A18,Questions!$A$2:$X$333,15,0)&amp;""))</f>
        <v>DO NOT complete the Artificial Intelligence (AI) worksheet</v>
      </c>
      <c r="F18" s="48" t="str">
        <f>VLOOKUP($A18,'Institution Evaluation'!$A$56:$F$345,6,0)&amp;""</f>
        <v/>
      </c>
      <c r="G18" s="62" t="s">
        <v>35</v>
      </c>
      <c r="I18" s="7"/>
      <c r="J18" s="7"/>
    </row>
    <row r="19" spans="1:10" s="3" customFormat="1" ht="36.75" customHeight="1" x14ac:dyDescent="0.15">
      <c r="A19" s="32" t="str">
        <f>VLOOKUP(LEFT($A20,4),'Auto Responses'!$N$4:$O$38,2,0)&amp;""</f>
        <v xml:space="preserve"> AI Qualifying Questions</v>
      </c>
      <c r="B19" s="41"/>
      <c r="C19" s="20" t="s">
        <v>21</v>
      </c>
      <c r="D19" s="20" t="s">
        <v>22</v>
      </c>
      <c r="E19" s="42" t="s">
        <v>23</v>
      </c>
      <c r="F19" s="89" t="s">
        <v>24</v>
      </c>
      <c r="I19" s="7"/>
      <c r="J19" s="7"/>
    </row>
    <row r="20" spans="1:10" s="3" customFormat="1" ht="84.75" customHeight="1" x14ac:dyDescent="0.15">
      <c r="A20" s="36" t="s">
        <v>301</v>
      </c>
      <c r="B20" s="44" t="str">
        <f>VLOOKUP($A20,Questions!$A$2:$X$333,2,0)</f>
        <v>Does your solution leverage machine learning (ML) or do you plan to do so in the next 12 months?</v>
      </c>
      <c r="C20" s="45" t="s">
        <v>26</v>
      </c>
      <c r="D20" s="46"/>
      <c r="E20" s="47" t="str">
        <f>IF($C$18='Auto Responses'!$J$4,'Auto Responses'!$A$6,IF($C20='Auto Responses'!$J$3,VLOOKUP($A20,Questions!$A$2:$X$333,17,0)&amp;"",IF($C20='Auto Responses'!$J$4,VLOOKUP($A20,Questions!$A$2:$X$333,16,0)&amp;"",VLOOKUP($A20,Questions!$A$2:$X$333,15,0)&amp;"")))</f>
        <v>Based on the response to REQU-04 on the "START HERE" tab, this question does not apply to this product or service.</v>
      </c>
      <c r="F20" s="48" t="str">
        <f>VLOOKUP($A20,'Institution Evaluation'!$A$56:$F$345,6,0)&amp;""</f>
        <v/>
      </c>
      <c r="I20" s="7"/>
      <c r="J20" s="7"/>
    </row>
    <row r="21" spans="1:10" s="3" customFormat="1" ht="78.75" customHeight="1" x14ac:dyDescent="0.15">
      <c r="A21" s="36" t="s">
        <v>302</v>
      </c>
      <c r="B21" s="44" t="str">
        <f>VLOOKUP($A21,Questions!$A$2:$X$333,2,0)</f>
        <v>Does your solution leverage a large language model (LLM) or do you plan to do so in the next 12 months?</v>
      </c>
      <c r="C21" s="45" t="s">
        <v>26</v>
      </c>
      <c r="D21" s="46"/>
      <c r="E21" s="47" t="str">
        <f>IF($C$18='Auto Responses'!$J$4,'Auto Responses'!$A$6,IF($C21='Auto Responses'!$J$3,VLOOKUP($A21,Questions!$A$2:$X$333,17,0)&amp;"",IF($C21='Auto Responses'!$J$4,VLOOKUP($A21,Questions!$A$2:$X$333,16,0)&amp;"",VLOOKUP($A21,Questions!$A$2:$X$333,15,0)&amp;"")))</f>
        <v>Based on the response to REQU-04 on the "START HERE" tab, this question does not apply to this product or service.</v>
      </c>
      <c r="F21" s="48" t="str">
        <f>VLOOKUP($A21,'Institution Evaluation'!$A$56:$F$345,6,0)&amp;""</f>
        <v/>
      </c>
      <c r="G21" s="62" t="s">
        <v>35</v>
      </c>
      <c r="I21" s="7"/>
      <c r="J21" s="7"/>
    </row>
    <row r="22" spans="1:10" s="3" customFormat="1" ht="36.75" customHeight="1" x14ac:dyDescent="0.15">
      <c r="A22" s="32" t="str">
        <f>VLOOKUP(LEFT($A23,4),'Auto Responses'!$N$4:$O$38,2,0)&amp;""</f>
        <v xml:space="preserve"> General AI Questions</v>
      </c>
      <c r="B22" s="41"/>
      <c r="C22" s="20" t="s">
        <v>21</v>
      </c>
      <c r="D22" s="20" t="s">
        <v>22</v>
      </c>
      <c r="E22" s="42" t="s">
        <v>23</v>
      </c>
      <c r="F22" s="89" t="s">
        <v>24</v>
      </c>
      <c r="I22" s="7"/>
      <c r="J22" s="7"/>
    </row>
    <row r="23" spans="1:10" s="3" customFormat="1" ht="48" customHeight="1" x14ac:dyDescent="0.15">
      <c r="A23" s="36" t="s">
        <v>303</v>
      </c>
      <c r="B23" s="44" t="str">
        <f>VLOOKUP($A23,Questions!$A$2:$X$333,2,0)</f>
        <v>Does your solution have an AI risk model when developing or implementing your solution's AI model?*</v>
      </c>
      <c r="C23" s="45" t="s">
        <v>75</v>
      </c>
      <c r="D23" s="46"/>
      <c r="E23" s="47" t="str">
        <f>IF($C$18='Auto Responses'!$J$4,'Auto Responses'!$A$6,IF($C23='Auto Responses'!$J$3,VLOOKUP($A23,Questions!$A$2:$X$333,17,0)&amp;"",IF($C23='Auto Responses'!$J$4,VLOOKUP($A23,Questions!$A$2:$X$333,16,0)&amp;"",VLOOKUP($A23,Questions!$A$2:$X$333,15,0)&amp;"")))</f>
        <v>Based on the response to REQU-04 on the "START HERE" tab, this question does not apply to this product or service.</v>
      </c>
      <c r="F23" s="48" t="str">
        <f>VLOOKUP($A23,'Institution Evaluation'!$A$56:$F$345,6,0)&amp;""</f>
        <v/>
      </c>
      <c r="I23" s="7"/>
      <c r="J23" s="7"/>
    </row>
    <row r="24" spans="1:10" s="3" customFormat="1" ht="38.25" customHeight="1" x14ac:dyDescent="0.15">
      <c r="A24" s="36" t="s">
        <v>304</v>
      </c>
      <c r="B24" s="44" t="str">
        <f>VLOOKUP($A24,Questions!$A$2:$X$333,2,0)</f>
        <v>Can your solution's AI features be disabled by tenant and/or user?*</v>
      </c>
      <c r="C24" s="45" t="s">
        <v>75</v>
      </c>
      <c r="D24" s="46"/>
      <c r="E24" s="47" t="str">
        <f>IF($C$18='Auto Responses'!$J$4,'Auto Responses'!$A$6,IF($C24='Auto Responses'!$J$3,VLOOKUP($A24,Questions!$A$2:$X$333,17,0)&amp;"",IF($C24='Auto Responses'!$J$4,VLOOKUP($A24,Questions!$A$2:$X$333,16,0)&amp;"",IF($C24='Auto Responses'!$J$5,VLOOKUP($A24,Questions!$A$2:$X$333,18,0)&amp;"",VLOOKUP($A24,Questions!$A$2:$X$333,15,0)&amp;""))))</f>
        <v>Based on the response to REQU-04 on the "START HERE" tab, this question does not apply to this product or service.</v>
      </c>
      <c r="F24" s="48" t="str">
        <f>VLOOKUP($A24,'Institution Evaluation'!$A$56:$F$345,6,0)&amp;""</f>
        <v/>
      </c>
      <c r="I24" s="7"/>
      <c r="J24" s="7"/>
    </row>
    <row r="25" spans="1:10" s="3" customFormat="1" ht="46.5" customHeight="1" x14ac:dyDescent="0.15">
      <c r="A25" s="36" t="s">
        <v>305</v>
      </c>
      <c r="B25" s="44" t="str">
        <f>VLOOKUP($A25,Questions!$A$2:$X$333,2,0)</f>
        <v>Have your staff completed responsible AI training?*</v>
      </c>
      <c r="C25" s="45" t="s">
        <v>75</v>
      </c>
      <c r="D25" s="46"/>
      <c r="E25" s="47" t="str">
        <f>IF($C$18='Auto Responses'!$J$4,'Auto Responses'!$A$6,IF($C25='Auto Responses'!$J$3,VLOOKUP($A25,Questions!$A$2:$X$333,17,0)&amp;"",IF($C25='Auto Responses'!$J$4,VLOOKUP($A25,Questions!$A$2:$X$333,16,0)&amp;"",VLOOKUP($A25,Questions!$A$2:$X$333,15,0)&amp;"")))</f>
        <v>Based on the response to REQU-04 on the "START HERE" tab, this question does not apply to this product or service.</v>
      </c>
      <c r="F25" s="48" t="str">
        <f>VLOOKUP($A25,'Institution Evaluation'!$A$56:$F$345,6,0)&amp;""</f>
        <v/>
      </c>
      <c r="I25" s="7"/>
      <c r="J25" s="7"/>
    </row>
    <row r="26" spans="1:10" s="3" customFormat="1" ht="94.5" customHeight="1" x14ac:dyDescent="0.15">
      <c r="A26" s="36" t="s">
        <v>306</v>
      </c>
      <c r="B26" s="44" t="str">
        <f>VLOOKUP($A26,Questions!$A$2:$X$333,2,0)</f>
        <v>Please describe the capabilities of your solution's AI features.</v>
      </c>
      <c r="C26" s="83" t="s">
        <v>75</v>
      </c>
      <c r="D26" s="71"/>
      <c r="E26" s="47" t="str">
        <f>IF($C$18='Auto Responses'!$J$4,'Auto Responses'!$A$6,IF($C26='Auto Responses'!$J$3,VLOOKUP($A26,Questions!$A$2:$X$333,17,0)&amp;"",IF($C26='Auto Responses'!$J$4,VLOOKUP($A26,Questions!$A$2:$X$333,16,0)&amp;"",VLOOKUP($A26,Questions!$A$2:$X$333,15,0)&amp;"")))</f>
        <v>Based on the response to REQU-04 on the "START HERE" tab, this question does not apply to this product or service.</v>
      </c>
      <c r="F26" s="48" t="str">
        <f>VLOOKUP($A26,'Institution Evaluation'!$A$56:$F$345,6,0)&amp;""</f>
        <v/>
      </c>
      <c r="I26" s="7"/>
      <c r="J26" s="7"/>
    </row>
    <row r="27" spans="1:10" s="3" customFormat="1" ht="74.25" customHeight="1" x14ac:dyDescent="0.15">
      <c r="A27" s="36" t="s">
        <v>307</v>
      </c>
      <c r="B27" s="44" t="str">
        <f>VLOOKUP($A27,Questions!$A$2:$X$333,2,0)</f>
        <v>Does your solution support business rules to protect sensitive data from being ingested by the AI model?</v>
      </c>
      <c r="C27" s="45" t="s">
        <v>75</v>
      </c>
      <c r="D27" s="46"/>
      <c r="E27" s="47" t="str">
        <f>IF($C$18='Auto Responses'!$J$4,'Auto Responses'!$A$6,IF($C27='Auto Responses'!$J$3,VLOOKUP($A27,Questions!$A$2:$X$333,17,0)&amp;"",IF($C27='Auto Responses'!$J$4,VLOOKUP($A27,Questions!$A$2:$X$333,16,0)&amp;"",VLOOKUP($A27,Questions!$A$2:$X$333,15,0)&amp;"")))</f>
        <v>Based on the response to REQU-04 on the "START HERE" tab, this question does not apply to this product or service.</v>
      </c>
      <c r="F27" s="48" t="str">
        <f>VLOOKUP($A27,'Institution Evaluation'!$A$56:$F$345,6,0)&amp;""</f>
        <v/>
      </c>
      <c r="G27" s="62" t="s">
        <v>35</v>
      </c>
      <c r="I27" s="7"/>
      <c r="J27" s="7"/>
    </row>
    <row r="28" spans="1:10" s="3" customFormat="1" ht="36.75" customHeight="1" x14ac:dyDescent="0.15">
      <c r="A28" s="32" t="str">
        <f>VLOOKUP(LEFT($A29,4),'Auto Responses'!$N$4:$O$38,2,0)&amp;""</f>
        <v xml:space="preserve"> AI Policy</v>
      </c>
      <c r="B28" s="41"/>
      <c r="C28" s="20" t="s">
        <v>21</v>
      </c>
      <c r="D28" s="20" t="s">
        <v>22</v>
      </c>
      <c r="E28" s="42" t="s">
        <v>23</v>
      </c>
      <c r="F28" s="89" t="s">
        <v>24</v>
      </c>
      <c r="I28" s="7"/>
      <c r="J28" s="7"/>
    </row>
    <row r="29" spans="1:10" s="3" customFormat="1" ht="69" customHeight="1" x14ac:dyDescent="0.15">
      <c r="A29" s="36" t="s">
        <v>308</v>
      </c>
      <c r="B29" s="44" t="str">
        <f>VLOOKUP($A29,Questions!$A$2:$X$333,2,0)</f>
        <v>Are your AI developer's policies, processes, procedures, and practices across the organization related to the mapping, measuring, and managing of AI risks conspicuously posted, unambiguous, and implemented effectively?*</v>
      </c>
      <c r="C29" s="45" t="s">
        <v>75</v>
      </c>
      <c r="D29" s="46"/>
      <c r="E29" s="47" t="str">
        <f>IF($C$18='Auto Responses'!$J$4,'Auto Responses'!$A$6,IF($C29='Auto Responses'!$J$3,VLOOKUP($A29,Questions!$A$2:$X$333,17,0)&amp;"",IF($C29='Auto Responses'!$J$4,VLOOKUP($A29,Questions!$A$2:$X$333,16,0)&amp;"",VLOOKUP($A29,Questions!$A$2:$X$333,15,0)&amp;"")))</f>
        <v>Based on the response to REQU-04 on the "START HERE" tab, this question does not apply to this product or service.</v>
      </c>
      <c r="F29" s="48" t="str">
        <f>VLOOKUP($A29,'Institution Evaluation'!$A$56:$F$345,6,0)&amp;""</f>
        <v/>
      </c>
      <c r="I29" s="7"/>
      <c r="J29" s="7"/>
    </row>
    <row r="30" spans="1:10" s="3" customFormat="1" ht="61.5" customHeight="1" x14ac:dyDescent="0.15">
      <c r="A30" s="36" t="s">
        <v>309</v>
      </c>
      <c r="B30" s="44" t="str">
        <f>VLOOKUP($A30,Questions!$A$2:$X$333,2,0)</f>
        <v>Have you identified and measured AI risks?*</v>
      </c>
      <c r="C30" s="45" t="s">
        <v>75</v>
      </c>
      <c r="D30" s="46"/>
      <c r="E30" s="47" t="str">
        <f>IF($C$18='Auto Responses'!$J$4,'Auto Responses'!$A$6,IF($C30='Auto Responses'!$J$3,VLOOKUP($A30,Questions!$A$2:$X$333,17,0)&amp;"",IF($C30='Auto Responses'!$J$4,VLOOKUP($A30,Questions!$A$2:$X$333,16,0)&amp;"",VLOOKUP($A30,Questions!$A$2:$X$333,15,0)&amp;"")))</f>
        <v>Based on the response to REQU-04 on the "START HERE" tab, this question does not apply to this product or service.</v>
      </c>
      <c r="F30" s="48" t="str">
        <f>VLOOKUP($A30,'Institution Evaluation'!$A$56:$F$345,6,0)&amp;""</f>
        <v/>
      </c>
      <c r="I30" s="7"/>
      <c r="J30" s="7"/>
    </row>
    <row r="31" spans="1:10" s="3" customFormat="1" ht="111" customHeight="1" x14ac:dyDescent="0.15">
      <c r="A31" s="36" t="s">
        <v>310</v>
      </c>
      <c r="B31" s="44" t="str">
        <f>VLOOKUP($A31,Questions!$A$2:$X$333,2,0)</f>
        <v>In the event of an incident, can your solution's AI features be disabled in a timely manner?*</v>
      </c>
      <c r="C31" s="45" t="s">
        <v>75</v>
      </c>
      <c r="D31" s="46"/>
      <c r="E31" s="47" t="str">
        <f>IF($C$18='Auto Responses'!$J$4,'Auto Responses'!$A$6,IF($C31='Auto Responses'!$J$3,VLOOKUP($A31,Questions!$A$2:$X$333,17,0)&amp;"",IF($C31='Auto Responses'!$J$4,VLOOKUP($A31,Questions!$A$2:$X$333,16,0)&amp;"",VLOOKUP($A31,Questions!$A$2:$X$333,15,0)&amp;"")))</f>
        <v>Based on the response to REQU-04 on the "START HERE" tab, this question does not apply to this product or service.</v>
      </c>
      <c r="F31" s="48" t="str">
        <f>VLOOKUP($A31,'Institution Evaluation'!$A$56:$F$345,6,0)&amp;""</f>
        <v/>
      </c>
      <c r="I31" s="7"/>
      <c r="J31" s="7"/>
    </row>
    <row r="32" spans="1:10" s="3" customFormat="1" ht="99.75" customHeight="1" x14ac:dyDescent="0.15">
      <c r="A32" s="36" t="s">
        <v>311</v>
      </c>
      <c r="B32" s="44" t="str">
        <f>VLOOKUP($A32,Questions!$A$2:$X$333,2,0)</f>
        <v>If disabled because of an incident, can your solution's AI features be re-enabled in a timely manner?*</v>
      </c>
      <c r="C32" s="45" t="s">
        <v>75</v>
      </c>
      <c r="D32" s="46"/>
      <c r="E32" s="47" t="str">
        <f>IF($C$18='Auto Responses'!$J$4,'Auto Responses'!$A$6,IF($C$31='Auto Responses'!$J$4,'Auto Responses'!$A$27,IF($C32='Auto Responses'!$J$3,VLOOKUP($A32,Questions!$A$2:$X$333,17,0)&amp;"",IF($C32='Auto Responses'!$J$4,VLOOKUP($A32,Questions!$A$2:$X$333,16,0)&amp;"",IF($C32='Auto Responses'!$J$5,VLOOKUP($A32,Questions!$A$2:$X$333,18,0)&amp;"",VLOOKUP($A32,Questions!$A$2:$X$333,15,0)&amp;"")))))</f>
        <v>Based on the response to REQU-04 on the "START HERE" tab, this question does not apply to this product or service.</v>
      </c>
      <c r="F32" s="48" t="str">
        <f>VLOOKUP($A32,'Institution Evaluation'!$A$56:$F$345,6,0)&amp;""</f>
        <v/>
      </c>
      <c r="I32" s="7"/>
      <c r="J32" s="7"/>
    </row>
    <row r="33" spans="1:10" s="3" customFormat="1" ht="105" customHeight="1" x14ac:dyDescent="0.15">
      <c r="A33" s="36" t="s">
        <v>312</v>
      </c>
      <c r="B33" s="44" t="str">
        <f>VLOOKUP($A33,Questions!$A$2:$X$333,2,0)</f>
        <v>Do you have documented technical and procedural processes to address potential negative impacts of AI as described by the AI Risk Management Framework (RMF)?</v>
      </c>
      <c r="C33" s="45" t="s">
        <v>75</v>
      </c>
      <c r="D33" s="46"/>
      <c r="E33" s="47" t="str">
        <f>IF($C$18='Auto Responses'!$J$4,'Auto Responses'!$A$6,IF($C33='Auto Responses'!$J$3,VLOOKUP($A33,Questions!$A$2:$X$333,17,0)&amp;"",IF($C33='Auto Responses'!$J$4,VLOOKUP($A33,Questions!$A$2:$X$333,16,0)&amp;"",VLOOKUP($A33,Questions!$A$2:$X$333,15,0)&amp;"")))</f>
        <v>Based on the response to REQU-04 on the "START HERE" tab, this question does not apply to this product or service.</v>
      </c>
      <c r="F33" s="48" t="str">
        <f>VLOOKUP($A33,'Institution Evaluation'!$A$56:$F$345,6,0)&amp;""</f>
        <v/>
      </c>
      <c r="G33" s="62" t="s">
        <v>35</v>
      </c>
      <c r="I33" s="7"/>
      <c r="J33" s="7"/>
    </row>
    <row r="34" spans="1:10" s="3" customFormat="1" ht="36.75" customHeight="1" x14ac:dyDescent="0.15">
      <c r="A34" s="32" t="str">
        <f>VLOOKUP(LEFT($A35,4),'Auto Responses'!$N$4:$O$38,2,0)&amp;""</f>
        <v xml:space="preserve"> AI Data Security</v>
      </c>
      <c r="B34" s="41"/>
      <c r="C34" s="20" t="s">
        <v>21</v>
      </c>
      <c r="D34" s="20" t="s">
        <v>22</v>
      </c>
      <c r="E34" s="42" t="s">
        <v>23</v>
      </c>
      <c r="F34" s="89" t="s">
        <v>24</v>
      </c>
      <c r="I34" s="7"/>
      <c r="J34" s="7"/>
    </row>
    <row r="35" spans="1:10" s="3" customFormat="1" ht="157.5" customHeight="1" x14ac:dyDescent="0.15">
      <c r="A35" s="36" t="s">
        <v>313</v>
      </c>
      <c r="B35" s="44" t="str">
        <f>VLOOKUP($A35,Questions!$A$2:$X$333,2,0)</f>
        <v>If sensitive data is introduced to your solution's AI model, can the data be removed from the AI model by request?*</v>
      </c>
      <c r="C35" s="45" t="s">
        <v>75</v>
      </c>
      <c r="D35" s="46"/>
      <c r="E35" s="47" t="str">
        <f>IF($C$18='Auto Responses'!$J$4,'Auto Responses'!$A$6,IF($C$31='Auto Responses'!$J$4,'Auto Responses'!$A$27,IF($C35='Auto Responses'!$J$3,VLOOKUP($A35,Questions!$A$2:$X$333,17,0)&amp;"",IF($C35='Auto Responses'!$J$4,VLOOKUP($A35,Questions!$A$2:$X$333,16,0)&amp;"",IF($C35='Auto Responses'!$J$5,VLOOKUP($A35,Questions!$A$2:$X$333,18,0)&amp;"",VLOOKUP($A35,Questions!$A$2:$X$333,15,0)&amp;"")))))</f>
        <v>Based on the response to REQU-04 on the "START HERE" tab, this question does not apply to this product or service.</v>
      </c>
      <c r="F35" s="48" t="str">
        <f>VLOOKUP($A35,'Institution Evaluation'!$A$56:$F$345,6,0)&amp;""</f>
        <v/>
      </c>
      <c r="I35" s="7"/>
      <c r="J35" s="7"/>
    </row>
    <row r="36" spans="1:10" s="3" customFormat="1" ht="119.25" customHeight="1" x14ac:dyDescent="0.15">
      <c r="A36" s="36" t="s">
        <v>314</v>
      </c>
      <c r="B36" s="44" t="str">
        <f>VLOOKUP($A36,Questions!$A$2:$X$333,2,0)</f>
        <v>Is user input data used to influence your solution's AI model?*</v>
      </c>
      <c r="C36" s="45" t="s">
        <v>75</v>
      </c>
      <c r="D36" s="46"/>
      <c r="E36" s="47" t="str">
        <f>IF($C$18='Auto Responses'!$J$4,'Auto Responses'!$A$6,IF($C36='Auto Responses'!$J$3,VLOOKUP($A36,Questions!$A$2:$X$333,17,0)&amp;"",IF($C36='Auto Responses'!$J$4,VLOOKUP($A36,Questions!$A$2:$X$333,16,0)&amp;"",VLOOKUP($A36,Questions!$A$2:$X$333,15,0)&amp;"")))</f>
        <v>Based on the response to REQU-04 on the "START HERE" tab, this question does not apply to this product or service.</v>
      </c>
      <c r="F36" s="48" t="str">
        <f>VLOOKUP($A36,'Institution Evaluation'!$A$56:$F$345,6,0)&amp;""</f>
        <v/>
      </c>
      <c r="I36" s="7"/>
      <c r="J36" s="7"/>
    </row>
    <row r="37" spans="1:10" s="3" customFormat="1" ht="94.5" customHeight="1" x14ac:dyDescent="0.15">
      <c r="A37" s="36" t="s">
        <v>315</v>
      </c>
      <c r="B37" s="44" t="str">
        <f>VLOOKUP($A37,Questions!$A$2:$X$333,2,0)</f>
        <v>Do you provide logging for your solution's AI feature(s) that includes user, date, and action taken?*</v>
      </c>
      <c r="C37" s="45" t="s">
        <v>75</v>
      </c>
      <c r="D37" s="46"/>
      <c r="E37" s="47" t="str">
        <f>IF($C$18='Auto Responses'!$J$4,'Auto Responses'!$A$6,IF($C37='Auto Responses'!$J$3,VLOOKUP($A37,Questions!$A$2:$X$333,17,0)&amp;"",IF($C37='Auto Responses'!$J$4,VLOOKUP($A37,Questions!$A$2:$X$333,16,0)&amp;"",VLOOKUP($A37,Questions!$A$2:$X$333,15,0)&amp;"")))</f>
        <v>Based on the response to REQU-04 on the "START HERE" tab, this question does not apply to this product or service.</v>
      </c>
      <c r="F37" s="48" t="str">
        <f>VLOOKUP($A37,'Institution Evaluation'!$A$56:$F$345,6,0)&amp;""</f>
        <v/>
      </c>
      <c r="I37" s="7"/>
      <c r="J37" s="7"/>
    </row>
    <row r="38" spans="1:10" s="3" customFormat="1" ht="81" customHeight="1" x14ac:dyDescent="0.15">
      <c r="A38" s="36" t="s">
        <v>316</v>
      </c>
      <c r="B38" s="44" t="str">
        <f>VLOOKUP($A38,Questions!$A$2:$X$333,2,0)</f>
        <v>Please describe how you validate user inputs.</v>
      </c>
      <c r="C38" s="83" t="s">
        <v>75</v>
      </c>
      <c r="D38" s="71"/>
      <c r="E38" s="47" t="str">
        <f>IF($C$18='Auto Responses'!$J$4,'Auto Responses'!$A$6,IF($C38='Auto Responses'!$J$3,VLOOKUP($A38,Questions!$A$2:$X$333,17,0)&amp;"",IF($C38='Auto Responses'!$J$4,VLOOKUP($A38,Questions!$A$2:$X$333,16,0)&amp;"",VLOOKUP($A38,Questions!$A$2:$X$333,15,0)&amp;"")))</f>
        <v>Based on the response to REQU-04 on the "START HERE" tab, this question does not apply to this product or service.</v>
      </c>
      <c r="F38" s="48" t="str">
        <f>VLOOKUP($A38,'Institution Evaluation'!$A$56:$F$345,6,0)&amp;""</f>
        <v/>
      </c>
      <c r="I38" s="7"/>
      <c r="J38" s="7"/>
    </row>
    <row r="39" spans="1:10" s="3" customFormat="1" ht="49.5" customHeight="1" x14ac:dyDescent="0.15">
      <c r="A39" s="36" t="s">
        <v>317</v>
      </c>
      <c r="B39" s="44" t="str">
        <f>VLOOKUP($A39,Questions!$A$2:$X$333,2,0)</f>
        <v>Do you plan for and mitigate supply-chain risk related to your AI features?</v>
      </c>
      <c r="C39" s="45" t="s">
        <v>75</v>
      </c>
      <c r="D39" s="46"/>
      <c r="E39" s="47" t="str">
        <f>IF($C$18='Auto Responses'!$J$4,'Auto Responses'!$A$6,IF($C39='Auto Responses'!$J$3,VLOOKUP($A39,Questions!$A$2:$X$333,17,0)&amp;"",IF($C39='Auto Responses'!$J$4,VLOOKUP($A39,Questions!$A$2:$X$333,16,0)&amp;"",VLOOKUP($A39,Questions!$A$2:$X$333,15,0)&amp;"")))</f>
        <v>Based on the response to REQU-04 on the "START HERE" tab, this question does not apply to this product or service.</v>
      </c>
      <c r="F39" s="48" t="str">
        <f>VLOOKUP($A39,'Institution Evaluation'!$A$56:$F$345,6,0)&amp;""</f>
        <v/>
      </c>
      <c r="G39" s="62" t="s">
        <v>35</v>
      </c>
      <c r="I39" s="7"/>
      <c r="J39" s="7"/>
    </row>
    <row r="40" spans="1:10" s="3" customFormat="1" ht="36.75" customHeight="1" x14ac:dyDescent="0.15">
      <c r="A40" s="32" t="str">
        <f>VLOOKUP(LEFT($A41,4),'Auto Responses'!$N$4:$O$38,2,0)&amp;""</f>
        <v xml:space="preserve"> AI Machine Learning</v>
      </c>
      <c r="B40" s="41"/>
      <c r="C40" s="20" t="s">
        <v>21</v>
      </c>
      <c r="D40" s="20" t="s">
        <v>22</v>
      </c>
      <c r="E40" s="42" t="s">
        <v>23</v>
      </c>
      <c r="F40" s="89" t="s">
        <v>24</v>
      </c>
      <c r="I40" s="7"/>
      <c r="J40" s="7"/>
    </row>
    <row r="41" spans="1:10" s="3" customFormat="1" ht="119.25" customHeight="1" x14ac:dyDescent="0.15">
      <c r="A41" s="36" t="s">
        <v>318</v>
      </c>
      <c r="B41" s="44" t="str">
        <f>VLOOKUP($A41,Questions!$A$2:$X$333,2,0)</f>
        <v>Do you separate ML training data from your ML solution data?*</v>
      </c>
      <c r="C41" s="45" t="s">
        <v>75</v>
      </c>
      <c r="D41" s="46"/>
      <c r="E41" s="47" t="str">
        <f>IF($C$18='Auto Responses'!$J$4,'Auto Responses'!$A$6,IF($C$20='Auto Responses'!$J$4,'Auto Responses'!$A$10,IF($C41='Auto Responses'!$J$3,VLOOKUP($A41,Questions!$A$2:$X$333,17,0)&amp;"",IF($C41='Auto Responses'!$J$4,VLOOKUP($A41,Questions!$A$2:$X$333,16,0)&amp;"",VLOOKUP($A41,Questions!$A$2:$X$333,15,0)&amp;""))))</f>
        <v>Based on the response to REQU-04 on the "START HERE" tab, this question does not apply to this product or service.</v>
      </c>
      <c r="F41" s="48" t="str">
        <f>VLOOKUP($A41,'Institution Evaluation'!$A$56:$F$345,6,0)&amp;""</f>
        <v/>
      </c>
      <c r="I41" s="7"/>
      <c r="J41" s="7"/>
    </row>
    <row r="42" spans="1:10" s="3" customFormat="1" ht="74.25" customHeight="1" x14ac:dyDescent="0.15">
      <c r="A42" s="36" t="s">
        <v>319</v>
      </c>
      <c r="B42" s="44" t="str">
        <f>VLOOKUP($A42,Questions!$A$2:$X$333,2,0)</f>
        <v>Do you authenticate and verify your ML model's feedback?*</v>
      </c>
      <c r="C42" s="45" t="s">
        <v>75</v>
      </c>
      <c r="D42" s="46"/>
      <c r="E42" s="47" t="str">
        <f>IF($C$18='Auto Responses'!$J$4,'Auto Responses'!$A$6,IF($C$20='Auto Responses'!$J$4,'Auto Responses'!$A$10,IF($C42='Auto Responses'!$J$3,VLOOKUP($A42,Questions!$A$2:$X$333,17,0)&amp;"",IF($C42='Auto Responses'!$J$4,VLOOKUP($A42,Questions!$A$2:$X$333,16,0)&amp;"",VLOOKUP($A42,Questions!$A$2:$X$333,15,0)&amp;""))))</f>
        <v>Based on the response to REQU-04 on the "START HERE" tab, this question does not apply to this product or service.</v>
      </c>
      <c r="F42" s="48" t="str">
        <f>VLOOKUP($A42,'Institution Evaluation'!$A$56:$F$345,6,0)&amp;""</f>
        <v/>
      </c>
      <c r="I42" s="7"/>
      <c r="J42" s="7"/>
    </row>
    <row r="43" spans="1:10" s="3" customFormat="1" ht="110.25" customHeight="1" x14ac:dyDescent="0.15">
      <c r="A43" s="36" t="s">
        <v>320</v>
      </c>
      <c r="B43" s="44" t="str">
        <f>VLOOKUP($A43,Questions!$A$2:$X$333,2,0)</f>
        <v>Is your ML training data vetted, validated, and verified before training the solution's AI model?</v>
      </c>
      <c r="C43" s="45" t="s">
        <v>75</v>
      </c>
      <c r="D43" s="46"/>
      <c r="E43" s="47" t="str">
        <f>IF($C$18='Auto Responses'!$J$4,'Auto Responses'!$A$6,IF($C$20='Auto Responses'!$J$4,'Auto Responses'!$A$10,IF($C43='Auto Responses'!$J$3,VLOOKUP($A43,Questions!$A$2:$X$333,17,0)&amp;"",IF($C43='Auto Responses'!$J$4,VLOOKUP($A43,Questions!$A$2:$X$333,16,0)&amp;"",VLOOKUP($A43,Questions!$A$2:$X$333,15,0)&amp;""))))</f>
        <v>Based on the response to REQU-04 on the "START HERE" tab, this question does not apply to this product or service.</v>
      </c>
      <c r="F43" s="48" t="str">
        <f>VLOOKUP($A43,'Institution Evaluation'!$A$56:$F$345,6,0)&amp;""</f>
        <v/>
      </c>
      <c r="I43" s="7"/>
      <c r="J43" s="7"/>
    </row>
    <row r="44" spans="1:10" s="3" customFormat="1" ht="38.25" customHeight="1" x14ac:dyDescent="0.15">
      <c r="A44" s="36" t="s">
        <v>321</v>
      </c>
      <c r="B44" s="44" t="str">
        <f>VLOOKUP($A44,Questions!$A$2:$X$333,2,0)</f>
        <v>Is your ML training data monitored and audited?</v>
      </c>
      <c r="C44" s="45" t="s">
        <v>75</v>
      </c>
      <c r="D44" s="46"/>
      <c r="E44" s="47" t="str">
        <f>IF($C$18='Auto Responses'!$J$4,'Auto Responses'!$A$6,IF($C$20='Auto Responses'!$J$4,'Auto Responses'!$A$10,IF($C44='Auto Responses'!$J$3,VLOOKUP($A44,Questions!$A$2:$X$333,17,0)&amp;"",IF($C44='Auto Responses'!$J$4,VLOOKUP($A44,Questions!$A$2:$X$333,16,0)&amp;"",VLOOKUP($A44,Questions!$A$2:$X$333,15,0)&amp;""))))</f>
        <v>Based on the response to REQU-04 on the "START HERE" tab, this question does not apply to this product or service.</v>
      </c>
      <c r="F44" s="48" t="str">
        <f>VLOOKUP($A44,'Institution Evaluation'!$A$56:$F$345,6,0)&amp;""</f>
        <v/>
      </c>
      <c r="I44" s="7"/>
      <c r="J44" s="7"/>
    </row>
    <row r="45" spans="1:10" s="3" customFormat="1" ht="63" customHeight="1" x14ac:dyDescent="0.15">
      <c r="A45" s="36" t="s">
        <v>322</v>
      </c>
      <c r="B45" s="44" t="str">
        <f>VLOOKUP($A45,Questions!$A$2:$X$333,2,0)</f>
        <v>Have you limited access to your ML training data to only staff with an explicit business need?</v>
      </c>
      <c r="C45" s="45" t="s">
        <v>75</v>
      </c>
      <c r="D45" s="46"/>
      <c r="E45" s="47" t="str">
        <f>IF($C$18='Auto Responses'!$J$4,'Auto Responses'!$A$6,IF($C$20='Auto Responses'!$J$4,'Auto Responses'!$A$10,IF($C45='Auto Responses'!$J$3,VLOOKUP($A45,Questions!$A$2:$X$333,17,0)&amp;"",IF($C45='Auto Responses'!$J$4,VLOOKUP($A45,Questions!$A$2:$X$333,16,0)&amp;"",VLOOKUP($A45,Questions!$A$2:$X$333,15,0)&amp;""))))</f>
        <v>Based on the response to REQU-04 on the "START HERE" tab, this question does not apply to this product or service.</v>
      </c>
      <c r="F45" s="48" t="str">
        <f>VLOOKUP($A45,'Institution Evaluation'!$A$56:$F$345,6,0)&amp;""</f>
        <v/>
      </c>
      <c r="I45" s="7"/>
      <c r="J45" s="7"/>
    </row>
    <row r="46" spans="1:10" s="3" customFormat="1" ht="101.25" customHeight="1" x14ac:dyDescent="0.15">
      <c r="A46" s="36" t="s">
        <v>323</v>
      </c>
      <c r="B46" s="44" t="str">
        <f>VLOOKUP($A46,Questions!$A$2:$X$333,2,0)</f>
        <v>Have you implemented adversarial training or other model defense mechanisms to protect your ML-related features?</v>
      </c>
      <c r="C46" s="45" t="s">
        <v>75</v>
      </c>
      <c r="D46" s="46"/>
      <c r="E46" s="47" t="str">
        <f>IF($C$18='Auto Responses'!$J$4,'Auto Responses'!$A$6,IF($C$20='Auto Responses'!$J$4,'Auto Responses'!$A$10,IF($C46='Auto Responses'!$J$3,VLOOKUP($A46,Questions!$A$2:$X$333,17,0)&amp;"",IF($C46='Auto Responses'!$J$4,VLOOKUP($A46,Questions!$A$2:$X$333,16,0)&amp;"",VLOOKUP($A46,Questions!$A$2:$X$333,15,0)&amp;""))))</f>
        <v>Based on the response to REQU-04 on the "START HERE" tab, this question does not apply to this product or service.</v>
      </c>
      <c r="F46" s="48" t="str">
        <f>VLOOKUP($A46,'Institution Evaluation'!$A$56:$F$345,6,0)&amp;""</f>
        <v/>
      </c>
      <c r="I46" s="7"/>
      <c r="J46" s="7"/>
    </row>
    <row r="47" spans="1:10" s="3" customFormat="1" ht="102.75" customHeight="1" x14ac:dyDescent="0.15">
      <c r="A47" s="36" t="s">
        <v>324</v>
      </c>
      <c r="B47" s="44" t="str">
        <f>VLOOKUP($A47,Questions!$A$2:$X$333,2,0)</f>
        <v>Do you make your ML model transparent through documentation and log inputs and outputs?</v>
      </c>
      <c r="C47" s="45" t="s">
        <v>75</v>
      </c>
      <c r="D47" s="46"/>
      <c r="E47" s="47" t="str">
        <f>IF($C$18='Auto Responses'!$J$4,'Auto Responses'!$A$6,IF($C$20='Auto Responses'!$J$4,'Auto Responses'!$A$10,IF($C47='Auto Responses'!$J$3,VLOOKUP($A47,Questions!$A$2:$X$333,17,0)&amp;"",IF($C47='Auto Responses'!$J$4,VLOOKUP($A47,Questions!$A$2:$X$333,16,0)&amp;"",VLOOKUP($A47,Questions!$A$2:$X$333,15,0)&amp;""))))</f>
        <v>Based on the response to REQU-04 on the "START HERE" tab, this question does not apply to this product or service.</v>
      </c>
      <c r="F47" s="48" t="str">
        <f>VLOOKUP($A47,'Institution Evaluation'!$A$56:$F$345,6,0)&amp;""</f>
        <v/>
      </c>
      <c r="I47" s="7"/>
      <c r="J47" s="7"/>
    </row>
    <row r="48" spans="1:10" s="3" customFormat="1" ht="67.5" customHeight="1" x14ac:dyDescent="0.15">
      <c r="A48" s="36" t="s">
        <v>325</v>
      </c>
      <c r="B48" s="44" t="str">
        <f>VLOOKUP($A48,Questions!$A$2:$X$333,2,0)</f>
        <v>Do you watermark your ML training data?</v>
      </c>
      <c r="C48" s="45" t="s">
        <v>75</v>
      </c>
      <c r="D48" s="46"/>
      <c r="E48" s="47" t="str">
        <f>IF($C$18='Auto Responses'!$J$4,'Auto Responses'!$A$6,IF($C$20='Auto Responses'!$J$4,'Auto Responses'!$A$10,IF($C48='Auto Responses'!$J$3,VLOOKUP($A48,Questions!$A$2:$X$333,17,0)&amp;"",IF($C48='Auto Responses'!$J$4,VLOOKUP($A48,Questions!$A$2:$X$333,16,0)&amp;"",VLOOKUP($A48,Questions!$A$2:$X$333,15,0)&amp;""))))</f>
        <v>Based on the response to REQU-04 on the "START HERE" tab, this question does not apply to this product or service.</v>
      </c>
      <c r="F48" s="48" t="str">
        <f>VLOOKUP($A48,'Institution Evaluation'!$A$56:$F$345,6,0)&amp;""</f>
        <v/>
      </c>
      <c r="G48" s="62" t="s">
        <v>35</v>
      </c>
      <c r="I48" s="7"/>
      <c r="J48" s="7"/>
    </row>
    <row r="49" spans="1:12" s="3" customFormat="1" ht="36.75" customHeight="1" x14ac:dyDescent="0.15">
      <c r="A49" s="32" t="str">
        <f>VLOOKUP(LEFT($A50,4),'Auto Responses'!$N$4:$O$38,2,0)&amp;""</f>
        <v xml:space="preserve"> AI Large Language Model (LLM)</v>
      </c>
      <c r="B49" s="41"/>
      <c r="C49" s="20" t="s">
        <v>21</v>
      </c>
      <c r="D49" s="20" t="s">
        <v>22</v>
      </c>
      <c r="E49" s="42" t="s">
        <v>23</v>
      </c>
      <c r="F49" s="89" t="s">
        <v>24</v>
      </c>
      <c r="I49" s="7"/>
      <c r="J49" s="7"/>
    </row>
    <row r="50" spans="1:12" s="3" customFormat="1" ht="60" customHeight="1" x14ac:dyDescent="0.15">
      <c r="A50" s="36" t="s">
        <v>326</v>
      </c>
      <c r="B50" s="44" t="str">
        <f>VLOOKUP($A50,Questions!$A$2:$X$333,2,0)</f>
        <v>Do you limit your solution's LLM privileges by default?*</v>
      </c>
      <c r="C50" s="45" t="s">
        <v>75</v>
      </c>
      <c r="D50" s="46"/>
      <c r="E50" s="47" t="str">
        <f>IF($C$18='Auto Responses'!$J$4,'Auto Responses'!$A$6,IF($C$21='Auto Responses'!$J$4,'Auto Responses'!$A$11,IF($C50='Auto Responses'!$J$3,VLOOKUP($A50,Questions!$A$2:$X$333,17,0)&amp;"",IF($C50='Auto Responses'!$J$4,VLOOKUP($A50,Questions!$A$2:$X$333,16,0)&amp;"",VLOOKUP($A50,Questions!$A$2:$X$333,15,0)&amp;""))))</f>
        <v>Based on the response to REQU-04 on the "START HERE" tab, this question does not apply to this product or service.</v>
      </c>
      <c r="F50" s="48" t="str">
        <f>VLOOKUP($A50,'Institution Evaluation'!$A$56:$F$345,6,0)&amp;""</f>
        <v/>
      </c>
      <c r="I50" s="7"/>
      <c r="J50" s="7"/>
    </row>
    <row r="51" spans="1:12" s="3" customFormat="1" ht="102.75" customHeight="1" x14ac:dyDescent="0.15">
      <c r="A51" s="36" t="s">
        <v>327</v>
      </c>
      <c r="B51" s="44" t="str">
        <f>VLOOKUP($A51,Questions!$A$2:$X$333,2,0)</f>
        <v>Is your LLM training data vetted, validated, and verified before training the solution's AI model?*</v>
      </c>
      <c r="C51" s="45" t="s">
        <v>75</v>
      </c>
      <c r="D51" s="46"/>
      <c r="E51" s="47" t="str">
        <f>IF($C$18='Auto Responses'!$J$4,'Auto Responses'!$A$6,IF($C$21='Auto Responses'!$J$4,'Auto Responses'!$A$11,IF($C51='Auto Responses'!$J$3,VLOOKUP($A51,Questions!$A$2:$X$333,17,0)&amp;"",IF($C51='Auto Responses'!$J$4,VLOOKUP($A51,Questions!$A$2:$X$333,16,0)&amp;"",VLOOKUP($A51,Questions!$A$2:$X$333,15,0)&amp;""))))</f>
        <v>Based on the response to REQU-04 on the "START HERE" tab, this question does not apply to this product or service.</v>
      </c>
      <c r="F51" s="48" t="str">
        <f>VLOOKUP($A51,'Institution Evaluation'!$A$56:$F$345,6,0)&amp;""</f>
        <v/>
      </c>
      <c r="I51" s="7"/>
      <c r="J51" s="7"/>
    </row>
    <row r="52" spans="1:12" s="3" customFormat="1" ht="75.75" customHeight="1" x14ac:dyDescent="0.15">
      <c r="A52" s="36" t="s">
        <v>328</v>
      </c>
      <c r="B52" s="44" t="str">
        <f>VLOOKUP($A52,Questions!$A$2:$X$333,2,0)</f>
        <v>Do any actions taken by your solution's LLM features or plugins require human intervention?*</v>
      </c>
      <c r="C52" s="45" t="s">
        <v>75</v>
      </c>
      <c r="D52" s="46"/>
      <c r="E52" s="47" t="str">
        <f>IF($C$18='Auto Responses'!$J$4,'Auto Responses'!$A$6,IF($C$21='Auto Responses'!$J$4,'Auto Responses'!$A$11,IF($C52='Auto Responses'!$J$3,VLOOKUP($A52,Questions!$A$2:$X$333,17,0)&amp;"",IF($C52='Auto Responses'!$J$4,VLOOKUP($A52,Questions!$A$2:$X$333,16,0)&amp;"",VLOOKUP($A52,Questions!$A$2:$X$333,15,0)&amp;""))))</f>
        <v>Based on the response to REQU-04 on the "START HERE" tab, this question does not apply to this product or service.</v>
      </c>
      <c r="F52" s="48" t="str">
        <f>VLOOKUP($A52,'Institution Evaluation'!$A$56:$F$345,6,0)&amp;""</f>
        <v/>
      </c>
      <c r="I52" s="7"/>
      <c r="J52" s="7"/>
    </row>
    <row r="53" spans="1:12" s="3" customFormat="1" ht="67.5" customHeight="1" x14ac:dyDescent="0.15">
      <c r="A53" s="36" t="s">
        <v>329</v>
      </c>
      <c r="B53" s="44" t="str">
        <f>VLOOKUP($A53,Questions!$A$2:$X$333,2,0)</f>
        <v>Do you limit multiple LLM model plugins being called as part of a single input?*</v>
      </c>
      <c r="C53" s="45" t="s">
        <v>75</v>
      </c>
      <c r="D53" s="46"/>
      <c r="E53" s="47" t="str">
        <f>IF($C$18='Auto Responses'!$J$4,'Auto Responses'!$A$6,IF($C$21='Auto Responses'!$J$4,'Auto Responses'!$A$11,IF($C53='Auto Responses'!$J$3,VLOOKUP($A53,Questions!$A$2:$X$333,17,0)&amp;"",IF($C53='Auto Responses'!$J$4,VLOOKUP($A53,Questions!$A$2:$X$333,16,0)&amp;"",VLOOKUP($A53,Questions!$A$2:$X$333,15,0)&amp;""))))</f>
        <v>Based on the response to REQU-04 on the "START HERE" tab, this question does not apply to this product or service.</v>
      </c>
      <c r="F53" s="48" t="str">
        <f>VLOOKUP($A53,'Institution Evaluation'!$A$56:$F$345,6,0)&amp;""</f>
        <v/>
      </c>
      <c r="I53" s="7"/>
      <c r="J53" s="7"/>
    </row>
    <row r="54" spans="1:12" s="3" customFormat="1" ht="49.5" customHeight="1" x14ac:dyDescent="0.15">
      <c r="A54" s="36" t="s">
        <v>330</v>
      </c>
      <c r="B54" s="44" t="str">
        <f>VLOOKUP($A54,Questions!$A$2:$X$333,2,0)</f>
        <v>Do you limit your solution's LLM resource use per request, per step, and per action?</v>
      </c>
      <c r="C54" s="45" t="s">
        <v>75</v>
      </c>
      <c r="D54" s="46"/>
      <c r="E54" s="47" t="str">
        <f>IF($C$18='Auto Responses'!$J$4,'Auto Responses'!$A$6,IF($C$21='Auto Responses'!$J$4,'Auto Responses'!$A$11,IF($C54='Auto Responses'!$J$3,VLOOKUP($A54,Questions!$A$2:$X$333,17,0)&amp;"",IF($C54='Auto Responses'!$J$4,VLOOKUP($A54,Questions!$A$2:$X$333,16,0)&amp;"",VLOOKUP($A54,Questions!$A$2:$X$333,15,0)&amp;""))))</f>
        <v>Based on the response to REQU-04 on the "START HERE" tab, this question does not apply to this product or service.</v>
      </c>
      <c r="F54" s="48" t="str">
        <f>VLOOKUP($A54,'Institution Evaluation'!$A$56:$F$345,6,0)&amp;""</f>
        <v/>
      </c>
      <c r="I54" s="7"/>
      <c r="J54" s="7"/>
    </row>
    <row r="55" spans="1:12" s="3" customFormat="1" ht="55.5" customHeight="1" x14ac:dyDescent="0.15">
      <c r="A55" s="36" t="s">
        <v>331</v>
      </c>
      <c r="B55" s="44" t="str">
        <f>VLOOKUP($A55,Questions!$A$2:$X$333,2,0)</f>
        <v>Do you leverage LLM model tuning or other model validation mechanisms?</v>
      </c>
      <c r="C55" s="45" t="s">
        <v>75</v>
      </c>
      <c r="D55" s="46"/>
      <c r="E55" s="47" t="str">
        <f>IF($C$18='Auto Responses'!$J$4,'Auto Responses'!$A$6,IF($C$21='Auto Responses'!$J$4,'Auto Responses'!$A$11,IF($C55='Auto Responses'!$J$3,VLOOKUP($A55,Questions!$A$2:$X$333,17,0)&amp;"",IF($C55='Auto Responses'!$J$4,VLOOKUP($A55,Questions!$A$2:$X$333,16,0)&amp;"",VLOOKUP($A55,Questions!$A$2:$X$333,15,0)&amp;""))))</f>
        <v>Based on the response to REQU-04 on the "START HERE" tab, this question does not apply to this product or service.</v>
      </c>
      <c r="F55" s="48" t="str">
        <f>VLOOKUP($A55,'Institution Evaluation'!$A$56:$F$345,6,0)&amp;""</f>
        <v/>
      </c>
      <c r="G55" s="62" t="s">
        <v>35</v>
      </c>
      <c r="I55" s="7"/>
      <c r="J55" s="7"/>
    </row>
    <row r="56" spans="1:12" s="3" customFormat="1" ht="33" customHeight="1" x14ac:dyDescent="0.15">
      <c r="A56" s="63" t="s">
        <v>53</v>
      </c>
      <c r="C56" s="4"/>
      <c r="D56" s="5"/>
      <c r="E56" s="90" t="s">
        <v>332</v>
      </c>
      <c r="I56" s="7"/>
      <c r="J56" s="7"/>
    </row>
    <row r="57" spans="1:12" s="3" customFormat="1" ht="15" hidden="1" customHeight="1" x14ac:dyDescent="0.15">
      <c r="A57"/>
      <c r="C57" s="4"/>
      <c r="D57" s="5"/>
      <c r="E57" s="6"/>
      <c r="I57" s="7"/>
      <c r="J57" s="7"/>
    </row>
    <row r="58" spans="1:12" ht="15" hidden="1" customHeight="1" x14ac:dyDescent="0.2">
      <c r="A58" s="3"/>
      <c r="B58" s="4"/>
      <c r="C58" s="77"/>
      <c r="D58" s="6"/>
      <c r="E58" s="3"/>
      <c r="F58" s="3"/>
      <c r="H58" s="7"/>
      <c r="I58" s="3"/>
      <c r="J58" s="3"/>
      <c r="L58"/>
    </row>
    <row r="59" spans="1:12" hidden="1" x14ac:dyDescent="0.2">
      <c r="A59" s="36" t="e">
        <f>#REF!</f>
        <v>#REF!</v>
      </c>
    </row>
    <row r="60" spans="1:12" hidden="1" x14ac:dyDescent="0.2">
      <c r="A60" s="36" t="e">
        <f>#REF!</f>
        <v>#REF!</v>
      </c>
    </row>
    <row r="61" spans="1:12" hidden="1" x14ac:dyDescent="0.2">
      <c r="A61" s="36" t="e">
        <f>#REF!</f>
        <v>#REF!</v>
      </c>
    </row>
    <row r="62" spans="1:12" hidden="1" x14ac:dyDescent="0.2">
      <c r="A62" s="36" t="e">
        <f>#REF!</f>
        <v>#REF!</v>
      </c>
    </row>
    <row r="63" spans="1:12" hidden="1" x14ac:dyDescent="0.2">
      <c r="A63" s="36" t="e">
        <f>#REF!</f>
        <v>#REF!</v>
      </c>
    </row>
    <row r="64" spans="1:12" hidden="1" x14ac:dyDescent="0.2">
      <c r="A64" s="36" t="e">
        <f>#REF!</f>
        <v>#REF!</v>
      </c>
    </row>
    <row r="65" spans="1:1" hidden="1" x14ac:dyDescent="0.2">
      <c r="A65" s="36" t="e">
        <f>#REF!</f>
        <v>#REF!</v>
      </c>
    </row>
    <row r="1048576" ht="3" customHeight="1" x14ac:dyDescent="0.2"/>
  </sheetData>
  <dataValidations count="3">
    <dataValidation allowBlank="1" showInputMessage="1" showErrorMessage="1" promptTitle="Warning!" prompt="The HECVAT is built using a number of complex formulas. Editing this cell can break the functionality of the tool. " sqref="B2:F2 A3:B56 D3:F3 C5:F12 C17:F17 E18:F18 C19:F19 E20:F21 C22:F22 E23:F27 C28:F28 E29:F33 C34:F34 E35:F39 C40:F40 E41:F48 C49:F49 E50:F55" xr:uid="{00000000-0002-0000-0600-000000000000}">
      <formula1>0</formula1>
      <formula2>0</formula2>
    </dataValidation>
    <dataValidation allowBlank="1" showInputMessage="1" showErrorMessage="1" prompt="This cell should be left blank. Input your answer in column C." sqref="D26 D38" xr:uid="{00000000-0002-0000-0600-000001000000}">
      <formula1>0</formula1>
      <formula2>0</formula2>
    </dataValidation>
    <dataValidation allowBlank="1" showInputMessage="1" showErrorMessage="1" prompt="This answer has been populated from the &quot;START HERE&quot; tab and does not need to be re-entered." sqref="C3 C13:C16 C18" xr:uid="{00000000-0002-0000-0600-000002000000}">
      <formula1>0</formula1>
      <formula2>0</formula2>
    </dataValidation>
  </dataValidations>
  <hyperlinks>
    <hyperlink ref="A11" r:id="rId1" display="http://www.educause.edu/HECVAT"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636C"/>
  </sheetPr>
  <dimension ref="A1:K117"/>
  <sheetViews>
    <sheetView showGridLines="0" tabSelected="1" topLeftCell="A2" workbookViewId="0"/>
  </sheetViews>
  <sheetFormatPr baseColWidth="10" defaultColWidth="0" defaultRowHeight="16" x14ac:dyDescent="0.2"/>
  <cols>
    <col min="1" max="1" width="8.25" style="2" customWidth="1"/>
    <col min="2" max="2" width="55.125" style="3" customWidth="1"/>
    <col min="3" max="3" width="20.375" style="4" customWidth="1"/>
    <col min="4" max="4" width="55.625" style="5" customWidth="1"/>
    <col min="5" max="5" width="32" style="91" customWidth="1"/>
    <col min="6" max="6" width="30.625" style="92" customWidth="1"/>
    <col min="7" max="7" width="18" style="3" customWidth="1"/>
    <col min="8" max="8" width="18" style="7" hidden="1" customWidth="1"/>
    <col min="9" max="10" width="18" style="3" hidden="1" customWidth="1"/>
    <col min="11" max="11" width="6.625" style="3" hidden="1"/>
    <col min="12" max="16384" width="6.625" style="2" hidden="1"/>
  </cols>
  <sheetData>
    <row r="1" spans="1:9" ht="221" hidden="1" x14ac:dyDescent="0.2">
      <c r="A1" t="s">
        <v>0</v>
      </c>
    </row>
    <row r="2" spans="1:9" ht="36" customHeight="1" x14ac:dyDescent="0.2">
      <c r="A2" s="8" t="s">
        <v>333</v>
      </c>
      <c r="B2" s="8"/>
      <c r="C2" s="9"/>
      <c r="D2" s="10"/>
      <c r="E2" s="11"/>
      <c r="F2" s="88" t="str">
        <f>'Auto Responses'!$A$36</f>
        <v>Version 4.1.6</v>
      </c>
    </row>
    <row r="3" spans="1:9" s="3" customFormat="1" ht="28.5" customHeight="1" x14ac:dyDescent="0.15">
      <c r="A3" s="12" t="s">
        <v>2</v>
      </c>
      <c r="B3" s="93">
        <v>46282</v>
      </c>
      <c r="C3" s="64">
        <f>'START HERE'!$C$3</f>
        <v>0</v>
      </c>
      <c r="D3" s="15"/>
      <c r="E3" s="16"/>
      <c r="F3" s="17"/>
      <c r="H3" s="7"/>
    </row>
    <row r="4" spans="1:9" s="3" customFormat="1" ht="36" customHeight="1" x14ac:dyDescent="0.15">
      <c r="A4" s="18" t="s">
        <v>3</v>
      </c>
      <c r="B4" s="19"/>
      <c r="C4" s="20"/>
      <c r="D4" s="21"/>
      <c r="E4" s="22"/>
      <c r="F4" s="22"/>
      <c r="H4" s="7"/>
    </row>
    <row r="5" spans="1:9" s="3" customFormat="1" ht="19.5" customHeight="1" x14ac:dyDescent="0.15">
      <c r="A5" s="23" t="str">
        <f>HLOOKUP($A$4,'Auto Responses'!$D$2:$D$8,2,0)&amp;""</f>
        <v>1. Complete the "Start Here" tab and review the "Required Questions" guidance to find the other sections are required for your product or service.</v>
      </c>
      <c r="B5" s="24"/>
      <c r="C5" s="25"/>
      <c r="D5" s="26"/>
      <c r="E5" s="24"/>
      <c r="F5" s="27"/>
      <c r="I5" s="7"/>
    </row>
    <row r="6" spans="1:9" s="3" customFormat="1" ht="19.5" customHeight="1" x14ac:dyDescent="0.15">
      <c r="A6" s="23" t="str">
        <f>HLOOKUP($A$4,'Auto Responses'!$D$2:$D$8,3,0)&amp;""</f>
        <v>2. Complete the "Organization" tab and the applicable questions in each of the next 5 tabs (Product through Privacy) that apply, based on your answers to the "Required Questions."</v>
      </c>
      <c r="B6" s="24"/>
      <c r="C6" s="25"/>
      <c r="D6" s="26"/>
      <c r="E6" s="24"/>
      <c r="F6" s="28"/>
      <c r="I6" s="7"/>
    </row>
    <row r="7" spans="1:9" s="3" customFormat="1" ht="19.5" customHeight="1" x14ac:dyDescent="0.15">
      <c r="A7" s="23" t="str">
        <f>HLOOKUP($A$4,'Auto Responses'!$D$2:$D$8,4,0)&amp;""</f>
        <v xml:space="preserve">3. Guidance in column E may change based on your answers to prompt details in "Additional Information." If leaving an answer blank, you must also state why in "Additional Information". </v>
      </c>
      <c r="B7" s="24"/>
      <c r="C7" s="25"/>
      <c r="D7" s="26"/>
      <c r="E7" s="24"/>
      <c r="F7" s="28"/>
      <c r="I7" s="7"/>
    </row>
    <row r="8" spans="1:9" s="3" customFormat="1" ht="19.5" customHeight="1" x14ac:dyDescent="0.15">
      <c r="A8" s="23" t="str">
        <f>HLOOKUP($A$4,'Auto Responses'!$D$2:$D$8,5,0)&amp;""</f>
        <v>4. DO NOT complete any fields in the "Evaluation" sheets or the "Analyst Notes" column.</v>
      </c>
      <c r="B8" s="24"/>
      <c r="C8" s="25"/>
      <c r="D8" s="26"/>
      <c r="E8" s="24"/>
      <c r="F8" s="28"/>
      <c r="I8" s="7"/>
    </row>
    <row r="9" spans="1:9" s="3" customFormat="1" ht="19.5" customHeight="1" x14ac:dyDescent="0.15">
      <c r="A9" s="23" t="str">
        <f>HLOOKUP($A$4,'Auto Responses'!$D$2:$D$8,6,0)&amp;""</f>
        <v>5. Return the completed file to institutions.</v>
      </c>
      <c r="B9" s="24"/>
      <c r="C9" s="25"/>
      <c r="D9" s="26"/>
      <c r="E9" s="24"/>
      <c r="F9" s="28"/>
      <c r="I9" s="7"/>
    </row>
    <row r="10" spans="1:9" s="3" customFormat="1" ht="19.5" customHeight="1" x14ac:dyDescent="0.15">
      <c r="A10" s="29" t="str">
        <f>HLOOKUP($A$4,'Auto Responses'!$D$2:$D$8,7,0)&amp;""</f>
        <v>* Denotes critical questions. Critical questions are those deemed most important to institutions by higher education volunteers.</v>
      </c>
      <c r="B10" s="24"/>
      <c r="C10" s="25"/>
      <c r="D10" s="26"/>
      <c r="E10" s="24"/>
      <c r="F10" s="28"/>
      <c r="I10" s="7"/>
    </row>
    <row r="11" spans="1:9" s="3" customFormat="1" ht="19.5" customHeight="1" x14ac:dyDescent="0.15">
      <c r="A11" s="30" t="str">
        <f>HLOOKUP($A$4,'Auto Responses'!$D$2:$D$9,8,0)&amp;""</f>
        <v>For full instructions, please visit educause.edu/HECVAT</v>
      </c>
      <c r="B11" s="24"/>
      <c r="C11" s="25"/>
      <c r="D11" s="26"/>
      <c r="E11" s="24"/>
      <c r="F11" s="31"/>
      <c r="I11" s="7"/>
    </row>
    <row r="12" spans="1:9" s="3" customFormat="1" ht="36" customHeight="1" x14ac:dyDescent="0.15">
      <c r="A12" s="32" t="str">
        <f>VLOOKUP(LEFT($A13,4),'Auto Responses'!$N$4:$O$38,2,0)&amp;""</f>
        <v xml:space="preserve"> General Information</v>
      </c>
      <c r="B12" s="19"/>
      <c r="C12" s="20" t="s">
        <v>21</v>
      </c>
      <c r="D12" s="94"/>
      <c r="E12" s="95"/>
      <c r="F12" s="95"/>
      <c r="H12" s="7"/>
    </row>
    <row r="13" spans="1:9" s="3" customFormat="1" ht="21.75" customHeight="1" x14ac:dyDescent="0.15">
      <c r="A13" s="36" t="s">
        <v>4</v>
      </c>
      <c r="B13" s="96" t="str">
        <f>VLOOKUP($A13,Questions!$A$2:$X$333,2,0)&amp;""</f>
        <v>Solution Provider Name</v>
      </c>
      <c r="C13" s="38" t="str">
        <f>VLOOKUP($A13,'START HERE'!$A$13:$C$21,3,0)&amp;""</f>
        <v>SmartPLS GmbH</v>
      </c>
      <c r="D13" s="15"/>
      <c r="E13" s="16"/>
      <c r="F13" s="17"/>
      <c r="H13" s="7"/>
    </row>
    <row r="14" spans="1:9" s="3" customFormat="1" ht="21.75" customHeight="1" x14ac:dyDescent="0.15">
      <c r="A14" s="36" t="s">
        <v>6</v>
      </c>
      <c r="B14" s="96" t="str">
        <f>VLOOKUP($A14,Questions!$A$2:$X$333,2,0)&amp;""</f>
        <v>Solution Name</v>
      </c>
      <c r="C14" s="38" t="str">
        <f>VLOOKUP($A14,'START HERE'!$A$13:$C$21,3,0)&amp;""</f>
        <v>SmartPLS 4.1.1.9 (SmartPLS Desktop)</v>
      </c>
      <c r="D14" s="15"/>
      <c r="E14" s="16"/>
      <c r="F14" s="17"/>
      <c r="H14" s="7"/>
    </row>
    <row r="15" spans="1:9" s="3" customFormat="1" ht="21.75" customHeight="1" x14ac:dyDescent="0.15">
      <c r="A15" s="36" t="s">
        <v>7</v>
      </c>
      <c r="B15" s="96" t="str">
        <f>VLOOKUP($A15,Questions!$A$2:$X$333,2,0)&amp;""</f>
        <v>Solution Description</v>
      </c>
      <c r="C15" s="38" t="str">
        <f>VLOOKUP($A15,'START HERE'!$A$13:$C$21,3,0)&amp;""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5" s="15"/>
      <c r="E15" s="16"/>
      <c r="F15" s="17"/>
      <c r="H15" s="7"/>
    </row>
    <row r="16" spans="1:9" s="3" customFormat="1" ht="21.75" customHeight="1" x14ac:dyDescent="0.15">
      <c r="A16" s="36" t="s">
        <v>17</v>
      </c>
      <c r="B16" s="96" t="str">
        <f>VLOOKUP($A16,Questions!$A$2:$X$333,2,0)&amp;""</f>
        <v>Country of Company Headquarters</v>
      </c>
      <c r="C16" s="38" t="str">
        <f>VLOOKUP($A16,'START HERE'!$A$13:$C$21,3,0)&amp;""</f>
        <v>Germany</v>
      </c>
      <c r="D16" s="15"/>
      <c r="E16" s="16"/>
      <c r="F16" s="17"/>
      <c r="H16" s="7"/>
    </row>
    <row r="17" spans="1:8" s="3" customFormat="1" ht="21.75" customHeight="1" x14ac:dyDescent="0.15">
      <c r="A17" s="36" t="s">
        <v>19</v>
      </c>
      <c r="B17" s="96" t="str">
        <f>VLOOKUP($A17,Questions!$A$2:$X$333,2,0)&amp;""</f>
        <v>Employee Work Locations (all)</v>
      </c>
      <c r="C17" s="38" t="str">
        <f>VLOOKUP($A17,'START HERE'!$A$13:$C$21,3,0)&amp;""</f>
        <v>Germany, Norway</v>
      </c>
      <c r="D17" s="15"/>
      <c r="E17" s="16"/>
      <c r="F17" s="17"/>
      <c r="H17" s="7"/>
    </row>
    <row r="18" spans="1:8" s="3" customFormat="1" ht="36.75" customHeight="1" x14ac:dyDescent="0.15">
      <c r="A18" s="32" t="str">
        <f>VLOOKUP(LEFT($A19,4),'Auto Responses'!$N$4:$O$38,2,0)&amp;""</f>
        <v xml:space="preserve"> Required Questions</v>
      </c>
      <c r="B18" s="41"/>
      <c r="C18" s="20" t="s">
        <v>21</v>
      </c>
      <c r="D18" s="20" t="s">
        <v>22</v>
      </c>
      <c r="E18" s="42" t="s">
        <v>23</v>
      </c>
      <c r="F18" s="97" t="s">
        <v>24</v>
      </c>
      <c r="H18" s="7"/>
    </row>
    <row r="19" spans="1:8" s="3" customFormat="1" ht="38.25" customHeight="1" x14ac:dyDescent="0.15">
      <c r="A19" s="36" t="s">
        <v>42</v>
      </c>
      <c r="B19" s="44" t="str">
        <f>VLOOKUP($A19,Questions!$A$2:$X$333,2,0)</f>
        <v>Does your solution have AI features, or are there plans to implement AI features in the next 12 months?</v>
      </c>
      <c r="C19" s="74" t="str">
        <f>VLOOKUP($A19,'START HERE'!$A$23:$F$36,3,0)&amp;""</f>
        <v>No</v>
      </c>
      <c r="D19" s="75" t="str">
        <f>VLOOKUP($A19,'START HERE'!$A$23:$F$36,4,0)&amp;""</f>
        <v>SmartPLS Desktop has no AI or machine-learning features, and none are planned in the next 12 months.</v>
      </c>
      <c r="E19" s="47" t="str">
        <f>IF($C19='Auto Responses'!$J$3,VLOOKUP($A19,Questions!$A$2:$X$333,17,0)&amp;"",IF($C19='Auto Responses'!$J$4,VLOOKUP($A19,Questions!$A$2:$X$333,16,0)&amp;"",VLOOKUP($A19,Questions!$A$2:$X$333,15,0)&amp;""))</f>
        <v>DO NOT complete the Artificial Intelligence (AI) worksheet</v>
      </c>
      <c r="F19" s="98" t="str">
        <f>VLOOKUP($A19,'START HERE'!$A$23:$F$36,6,0)&amp;""</f>
        <v/>
      </c>
      <c r="H19" s="7"/>
    </row>
    <row r="20" spans="1:8" s="3" customFormat="1" ht="50.25" customHeight="1" x14ac:dyDescent="0.15">
      <c r="A20" s="36" t="s">
        <v>44</v>
      </c>
      <c r="B20" s="44" t="str">
        <f>VLOOKUP($A20,Questions!$A$2:$X$333,2,0)</f>
        <v>Does your solution process protected health information (PHI) or any data covered by the Health Insurance Portability and Accountability Act (HIPAA)?</v>
      </c>
      <c r="C20" s="74" t="str">
        <f>VLOOKUP($A20,'START HERE'!$A$23:$F$36,3,0)&amp;""</f>
        <v>No</v>
      </c>
      <c r="D20" s="75" t="str">
        <f>VLOOKUP($A20,'START HERE'!$A$23:$F$36,4,0)&amp;""</f>
        <v>SmartPLS does not process protected health information or other HIPAA-covered data.</v>
      </c>
      <c r="E20" s="47" t="str">
        <f>IF($C20='Auto Responses'!$J$3,VLOOKUP($A20,Questions!$A$2:$X$333,17,0)&amp;"",IF($C20='Auto Responses'!$J$4,VLOOKUP($A20,Questions!$A$2:$X$333,16,0)&amp;"",VLOOKUP($A20,Questions!$A$2:$X$333,15,0)&amp;""))</f>
        <v>DO NOT complete the HIPAA section in the Case-Specific worksheet</v>
      </c>
      <c r="F20" s="98" t="str">
        <f>VLOOKUP($A20,'START HERE'!$A$23:$F$36,6,0)&amp;""</f>
        <v/>
      </c>
      <c r="H20" s="7"/>
    </row>
    <row r="21" spans="1:8" s="3" customFormat="1" ht="56.25" customHeight="1" x14ac:dyDescent="0.15">
      <c r="A21" s="36" t="s">
        <v>46</v>
      </c>
      <c r="B21" s="44" t="str">
        <f>VLOOKUP($A21,Questions!$A$2:$X$333,2,0)</f>
        <v>Is the solution designed to process, store, or transmit credit card information?</v>
      </c>
      <c r="C21" s="74" t="str">
        <f>VLOOKUP($A21,'START HERE'!$A$23:$F$36,3,0)&amp;""</f>
        <v>No</v>
      </c>
      <c r="D21" s="75" t="str">
        <f>VLOOKUP($A21,'START HERE'!$A$23:$F$36,4,0)&amp;""</f>
        <v>License purchases are processed by our payment service provider, Adyen; SmartPLS does not itself store, process, or transmit cardholder data.</v>
      </c>
      <c r="E21" s="47" t="str">
        <f>IF($C21='Auto Responses'!$J$3,VLOOKUP($A21,Questions!$A$2:$X$333,17,0)&amp;"",IF($C21='Auto Responses'!$J$4,VLOOKUP($A21,Questions!$A$2:$X$333,16,0)&amp;"",VLOOKUP($A21,Questions!$A$2:$X$333,15,0)&amp;""))</f>
        <v>DO NOT complete the PCI-DSS section in the Case-Specific worksheet</v>
      </c>
      <c r="F21" s="98" t="str">
        <f>VLOOKUP($A21,'START HERE'!$A$23:$F$36,6,0)&amp;""</f>
        <v/>
      </c>
      <c r="H21" s="7"/>
    </row>
    <row r="22" spans="1:8" s="3" customFormat="1" ht="56.25" customHeight="1" x14ac:dyDescent="0.15">
      <c r="A22" s="36" t="s">
        <v>50</v>
      </c>
      <c r="B22" s="44" t="str">
        <f>VLOOKUP($A22,Questions!$A$2:$X$333,2,0)</f>
        <v>Does your solution have access to personal or institutional data?</v>
      </c>
      <c r="C22" s="74" t="str">
        <f>VLOOKUP($A22,'START HERE'!$A$23:$F$36,3,0)&amp;""</f>
        <v>Yes</v>
      </c>
      <c r="D22" s="75" t="str">
        <f>VLOOKUP($A22,'START HERE'!$A$23:$F$36,4,0)&amp;""</f>
        <v>SmartPLS has access to limited personal data used for license administration (name, email, institution) and optional anonymized usage/crash telemetry. It does not have access to institutional research data, which remains on the customer’s own device at all times.</v>
      </c>
      <c r="E22" s="47" t="str">
        <f>IF($C22='Auto Responses'!$J$3,VLOOKUP($A22,Questions!$A$2:$X$333,17,0)&amp;"",IF($C22='Auto Responses'!$J$4,VLOOKUP($A22,Questions!$A$2:$X$333,16,0)&amp;"",VLOOKUP($A22,Questions!$A$2:$X$333,15,0)&amp;""))</f>
        <v>DO complete the Privacy tab</v>
      </c>
      <c r="F22" s="98" t="str">
        <f>VLOOKUP($A22,'START HERE'!$A$23:$F$36,6,0)&amp;""</f>
        <v/>
      </c>
      <c r="G22" s="62" t="s">
        <v>35</v>
      </c>
      <c r="H22" s="7"/>
    </row>
    <row r="23" spans="1:8" s="3" customFormat="1" ht="36.75" customHeight="1" x14ac:dyDescent="0.15">
      <c r="A23" s="32" t="str">
        <f>VLOOKUP(LEFT($A24,4),'Auto Responses'!$N$4:$O$38,2,0)&amp;""</f>
        <v xml:space="preserve"> General Privacy</v>
      </c>
      <c r="B23" s="41"/>
      <c r="C23" s="20" t="s">
        <v>21</v>
      </c>
      <c r="D23" s="20" t="s">
        <v>22</v>
      </c>
      <c r="E23" s="42" t="s">
        <v>23</v>
      </c>
      <c r="F23" s="89" t="s">
        <v>24</v>
      </c>
      <c r="H23" s="7"/>
    </row>
    <row r="24" spans="1:8" s="3" customFormat="1" ht="54" customHeight="1" x14ac:dyDescent="0.15">
      <c r="A24" s="36" t="s">
        <v>334</v>
      </c>
      <c r="B24" s="44" t="str">
        <f>VLOOKUP($A24,Questions!$A$2:$X$333,2,0)</f>
        <v>Does your solution process FERPA-related data?</v>
      </c>
      <c r="C24" s="45" t="s">
        <v>26</v>
      </c>
      <c r="D24" s="86" t="s">
        <v>335</v>
      </c>
      <c r="E24" s="47" t="str">
        <f>IF($C24='Auto Responses'!$J$3,VLOOKUP($A24,Questions!$A$2:$X$333,17,0)&amp;"",IF($C24='Auto Responses'!$J$4,VLOOKUP($A24,Questions!$A$2:$X$333,16,0)&amp;"",VLOOKUP($A24,Questions!$A$2:$X$333,15,0)&amp;""))</f>
        <v>FERPA-related data includes any data maintained by (or on behalf of) the institution that is directly related to an identifiable student.</v>
      </c>
      <c r="F24" s="98" t="str">
        <f>VLOOKUP($A24,'Privacy Analyst Evaluation'!$A$46:$F$120,6,0)&amp;""</f>
        <v/>
      </c>
      <c r="H24" s="7"/>
    </row>
    <row r="25" spans="1:8" s="3" customFormat="1" ht="108" customHeight="1" x14ac:dyDescent="0.15">
      <c r="A25" s="36" t="s">
        <v>336</v>
      </c>
      <c r="B25" s="44" t="str">
        <f>VLOOKUP($A25,Questions!$A$2:$X$333,2,0)</f>
        <v>Does your solution process GDPR-related or PIPL-related data?</v>
      </c>
      <c r="C25" s="45" t="s">
        <v>30</v>
      </c>
      <c r="D25" s="86" t="s">
        <v>337</v>
      </c>
      <c r="E25" s="47" t="str">
        <f>IF($C25='Auto Responses'!$J$3,VLOOKUP($A25,Questions!$A$2:$X$333,17,0)&amp;"",IF($C25='Auto Responses'!$J$4,VLOOKUP($A25,Questions!$A$2:$X$333,16,0)&amp;"",VLOOKUP($A25,Questions!$A$2:$X$333,15,0)&amp;""))</f>
        <v>Provide documentation of any processes or policies that address compliance with GDPR and/or PIPL as appropriate.</v>
      </c>
      <c r="F25" s="98" t="str">
        <f>VLOOKUP($A25,'Privacy Analyst Evaluation'!$A$46:$F$120,6,0)&amp;""</f>
        <v/>
      </c>
      <c r="H25" s="7"/>
    </row>
    <row r="26" spans="1:8" s="3" customFormat="1" ht="35.25" customHeight="1" x14ac:dyDescent="0.15">
      <c r="A26" s="36" t="s">
        <v>338</v>
      </c>
      <c r="B26" s="44" t="str">
        <f>VLOOKUP($A26,Questions!$A$2:$X$333,2,0)</f>
        <v>Does your solution process personal data regulated by state law(s) (e.g., CCPA)?</v>
      </c>
      <c r="C26" s="45" t="s">
        <v>26</v>
      </c>
      <c r="D26" s="86"/>
      <c r="E26" s="47" t="str">
        <f>IF($C26='Auto Responses'!$J$3,VLOOKUP($A26,Questions!$A$2:$X$333,17,0)&amp;"",IF($C26='Auto Responses'!$J$4,VLOOKUP($A26,Questions!$A$2:$X$333,16,0)&amp;"",VLOOKUP($A26,Questions!$A$2:$X$333,15,0)&amp;""))</f>
        <v/>
      </c>
      <c r="F26" s="98" t="str">
        <f>VLOOKUP($A26,'Privacy Analyst Evaluation'!$A$46:$F$120,6,0)&amp;""</f>
        <v/>
      </c>
      <c r="H26" s="7"/>
    </row>
    <row r="27" spans="1:8" s="3" customFormat="1" ht="39" customHeight="1" x14ac:dyDescent="0.15">
      <c r="A27" s="36" t="s">
        <v>339</v>
      </c>
      <c r="B27" s="44" t="str">
        <f>VLOOKUP($A27,Questions!$A$2:$X$333,2,0)</f>
        <v>Does your solution process user-provided data that may contain regulated information?</v>
      </c>
      <c r="C27" s="45" t="s">
        <v>26</v>
      </c>
      <c r="D27" s="86" t="s">
        <v>340</v>
      </c>
      <c r="E27" s="47" t="str">
        <f>IF($C27='Auto Responses'!$J$3,VLOOKUP($A27,Questions!$A$2:$X$333,17,0)&amp;"",IF($C27='Auto Responses'!$J$4,VLOOKUP($A27,Questions!$A$2:$X$333,16,0)&amp;"",VLOOKUP($A27,Questions!$A$2:$X$333,15,0)&amp;""))</f>
        <v/>
      </c>
      <c r="F27" s="98" t="str">
        <f>VLOOKUP($A27,'Privacy Analyst Evaluation'!$A$46:$F$120,6,0)&amp;""</f>
        <v/>
      </c>
      <c r="H27" s="7"/>
    </row>
    <row r="28" spans="1:8" s="3" customFormat="1" ht="27.75" customHeight="1" x14ac:dyDescent="0.15">
      <c r="A28" s="36" t="s">
        <v>341</v>
      </c>
      <c r="B28" s="44" t="str">
        <f>VLOOKUP($A28,Questions!$A$2:$X$333,2,0)</f>
        <v>Web Link to Product/Service Privacy Notice</v>
      </c>
      <c r="C28" s="320" t="s">
        <v>342</v>
      </c>
      <c r="D28" s="71"/>
      <c r="E28" s="47" t="str">
        <f>IF($C28='Auto Responses'!$J$3,VLOOKUP($A28,Questions!$A$2:$X$333,17,0)&amp;"",IF($C28='Auto Responses'!$J$4,VLOOKUP($A28,Questions!$A$2:$X$333,16,0)&amp;"",VLOOKUP($A28,Questions!$A$2:$X$333,15,0)&amp;""))</f>
        <v>If multiple notices are implicated, provide all that apply. If any other documents are incorporated by reference, provide them as well.</v>
      </c>
      <c r="F28" s="98" t="str">
        <f>VLOOKUP($A28,'Privacy Analyst Evaluation'!$A$46:$F$120,6,0)&amp;""</f>
        <v/>
      </c>
      <c r="G28" s="62" t="s">
        <v>35</v>
      </c>
      <c r="H28" s="7"/>
    </row>
    <row r="29" spans="1:8" s="3" customFormat="1" ht="36.75" customHeight="1" x14ac:dyDescent="0.15">
      <c r="A29" s="32" t="str">
        <f>VLOOKUP(LEFT($A30,4),'Auto Responses'!$N$4:$O$38,2,0)&amp;""</f>
        <v xml:space="preserve"> Privacy-Specific Company Details</v>
      </c>
      <c r="B29" s="41"/>
      <c r="C29" s="20" t="s">
        <v>21</v>
      </c>
      <c r="D29" s="20" t="s">
        <v>22</v>
      </c>
      <c r="E29" s="42" t="s">
        <v>23</v>
      </c>
      <c r="F29" s="89" t="s">
        <v>24</v>
      </c>
      <c r="H29" s="7"/>
    </row>
    <row r="30" spans="1:8" s="3" customFormat="1" ht="78" customHeight="1" x14ac:dyDescent="0.15">
      <c r="A30" s="36" t="s">
        <v>343</v>
      </c>
      <c r="B30" s="44" t="str">
        <f>VLOOKUP($A30,Questions!$A$2:$X$333,2,0)</f>
        <v>Have you had a personal data breach in the past three years that involved reporting to a governmental agency, notice to individuals (including voluntary notice), or notice to another organization or institution?*</v>
      </c>
      <c r="C30" s="45" t="s">
        <v>26</v>
      </c>
      <c r="D30" s="86"/>
      <c r="E30" s="47" t="str">
        <f>IF($C30='Auto Responses'!$J$3,VLOOKUP($A30,Questions!$A$2:$X$333,17,0)&amp;"",IF($C30='Auto Responses'!$J$4,VLOOKUP($A30,Questions!$A$2:$X$333,16,0)&amp;"",VLOOKUP($A30,Questions!$A$2:$X$333,15,0)&amp;""))</f>
        <v/>
      </c>
      <c r="F30" s="98" t="str">
        <f>VLOOKUP($A30,'Privacy Analyst Evaluation'!$A$46:$F$120,6,0)&amp;""</f>
        <v/>
      </c>
      <c r="H30" s="7"/>
    </row>
    <row r="31" spans="1:8" s="3" customFormat="1" ht="60.75" customHeight="1" x14ac:dyDescent="0.15">
      <c r="A31" s="36" t="s">
        <v>344</v>
      </c>
      <c r="B31" s="44" t="str">
        <f>VLOOKUP($A31,Questions!$A$2:$X$333,2,0)</f>
        <v>Use this area to share information about your privacy practices that will assist those who are assessing your company data privacy program.*</v>
      </c>
      <c r="C31" s="99" t="s">
        <v>345</v>
      </c>
      <c r="E31" s="47" t="str">
        <f>IF($C31='Auto Responses'!$J$3,VLOOKUP($A31,Questions!$A$2:$X$333,17,0)&amp;"",IF($C31='Auto Responses'!$J$4,VLOOKUP($A31,Questions!$A$2:$X$333,16,0)&amp;"",VLOOKUP($A31,Questions!$A$2:$X$333,15,0)&amp;""))</f>
        <v>Share any additional details that would help data privacy analysts assess your solution.</v>
      </c>
      <c r="F31" s="98" t="str">
        <f>VLOOKUP($A31,'Privacy Analyst Evaluation'!$A$46:$F$120,6,0)&amp;""</f>
        <v/>
      </c>
      <c r="H31" s="7"/>
    </row>
    <row r="32" spans="1:8" s="3" customFormat="1" ht="42.75" customHeight="1" x14ac:dyDescent="0.15">
      <c r="A32" s="36" t="s">
        <v>346</v>
      </c>
      <c r="B32" s="44" t="str">
        <f>VLOOKUP($A32,Questions!$A$2:$X$333,2,0)</f>
        <v>Have you had any violations of your internal privacy policies or violations of applicable privacy law in the past 36 months?</v>
      </c>
      <c r="C32" s="45" t="s">
        <v>26</v>
      </c>
      <c r="D32" s="86" t="s">
        <v>347</v>
      </c>
      <c r="E32" s="47" t="str">
        <f>IF($C32='Auto Responses'!$J$3,VLOOKUP($A32,Questions!$A$2:$X$333,17,0)&amp;"",IF($C32='Auto Responses'!$J$4,VLOOKUP($A32,Questions!$A$2:$X$333,16,0)&amp;"",VLOOKUP($A32,Questions!$A$2:$X$333,15,0)&amp;""))</f>
        <v/>
      </c>
      <c r="F32" s="98" t="str">
        <f>VLOOKUP($A32,'Privacy Analyst Evaluation'!$A$46:$F$120,6,0)&amp;""</f>
        <v/>
      </c>
      <c r="H32" s="7"/>
    </row>
    <row r="33" spans="1:8" s="3" customFormat="1" ht="40.5" customHeight="1" x14ac:dyDescent="0.15">
      <c r="A33" s="36" t="s">
        <v>348</v>
      </c>
      <c r="B33" s="44" t="str">
        <f>VLOOKUP($A33,Questions!$A$2:$X$333,2,0)</f>
        <v>Do you have a dedicated data privacy staff or office?</v>
      </c>
      <c r="C33" s="45" t="s">
        <v>26</v>
      </c>
      <c r="D33" s="86"/>
      <c r="E33" s="47" t="str">
        <f>IF($C33='Auto Responses'!$J$3,VLOOKUP($A33,Questions!$A$2:$X$333,17,0)&amp;"",IF($C33='Auto Responses'!$J$4,VLOOKUP($A33,Questions!$A$2:$X$333,16,0)&amp;"",VLOOKUP($A33,Questions!$A$2:$X$333,15,0)&amp;""))</f>
        <v>Describe who is responsible for data privacy, including department, size, talents, resources, etc.</v>
      </c>
      <c r="F33" s="98" t="str">
        <f>VLOOKUP($A33,'Privacy Analyst Evaluation'!$A$46:$F$120,6,0)&amp;""</f>
        <v/>
      </c>
      <c r="G33" s="62" t="s">
        <v>35</v>
      </c>
      <c r="H33" s="7"/>
    </row>
    <row r="34" spans="1:8" s="3" customFormat="1" ht="36.75" customHeight="1" x14ac:dyDescent="0.15">
      <c r="A34" s="32" t="str">
        <f>VLOOKUP(LEFT($A35,4),'Auto Responses'!$N$4:$O$38,2,0)&amp;""</f>
        <v xml:space="preserve"> Privacy-Specific Documentation</v>
      </c>
      <c r="B34" s="41"/>
      <c r="C34" s="20" t="s">
        <v>21</v>
      </c>
      <c r="D34" s="20" t="s">
        <v>22</v>
      </c>
      <c r="E34" s="42" t="s">
        <v>23</v>
      </c>
      <c r="F34" s="89" t="s">
        <v>24</v>
      </c>
      <c r="H34" s="7"/>
    </row>
    <row r="35" spans="1:8" s="3" customFormat="1" ht="99.75" customHeight="1" x14ac:dyDescent="0.15">
      <c r="A35" s="36" t="s">
        <v>349</v>
      </c>
      <c r="B35" s="44" t="str">
        <f>VLOOKUP($A35,Questions!$A$2:$X$333,2,0)</f>
        <v>If you have completed a SOC 2 audit, does it include the Privacy Trust Service Principle?</v>
      </c>
      <c r="C35" s="45" t="s">
        <v>75</v>
      </c>
      <c r="D35" s="86" t="s">
        <v>350</v>
      </c>
      <c r="E35" s="47" t="str">
        <f>IF($C35='Auto Responses'!$J$3,VLOOKUP($A35,Questions!$A$2:$X$333,17,0)&amp;"",IF($C35='Auto Responses'!$J$4,VLOOKUP($A35,Questions!$A$2:$X$333,16,0)&amp;"",IF($C35='Auto Responses'!$J$5,VLOOKUP($A35,Questions!$A$2:$X$333,18,0)&amp;"",VLOOKUP($A35,Questions!$A$2:$X$333,15,0)&amp;"")))</f>
        <v>Please explain why this does not apply to your organization, product or service.</v>
      </c>
      <c r="F35" s="98" t="str">
        <f>VLOOKUP($A35,'Privacy Analyst Evaluation'!$A$46:$F$120,6,0)&amp;""</f>
        <v/>
      </c>
      <c r="H35" s="7"/>
    </row>
    <row r="36" spans="1:8" s="3" customFormat="1" ht="94.5" customHeight="1" x14ac:dyDescent="0.15">
      <c r="A36" s="36" t="s">
        <v>351</v>
      </c>
      <c r="B36" s="44" t="str">
        <f>VLOOKUP($A36,Questions!$A$2:$X$333,2,0)</f>
        <v>Do you conform with a specific industry-standard privacy framework (e.g., NIST Privacy Framework, GDPR, ISO 27701)?</v>
      </c>
      <c r="C36" s="45" t="s">
        <v>30</v>
      </c>
      <c r="D36" s="86" t="s">
        <v>352</v>
      </c>
      <c r="E36" s="47" t="str">
        <f>IF($C36='Auto Responses'!$J$3,VLOOKUP($A36,Questions!$A$2:$X$333,17,0)&amp;"",IF($C36='Auto Responses'!$J$4,VLOOKUP($A36,Questions!$A$2:$X$333,16,0)&amp;"",IF($C36='Auto Responses'!$J$5,VLOOKUP($A36,Questions!$A$2:$X$333,18,0)&amp;"",VLOOKUP($A36,Questions!$A$2:$X$333,15,0)&amp;"")))</f>
        <v>Indicate which framework(s) are followed; provide documentation on how your organization conforms to your chosen framework(s) and indicate current certification levels, where appropriate.</v>
      </c>
      <c r="F36" s="98" t="str">
        <f>VLOOKUP($A36,'Privacy Analyst Evaluation'!$A$46:$F$120,6,0)&amp;""</f>
        <v/>
      </c>
      <c r="H36" s="7"/>
    </row>
    <row r="37" spans="1:8" s="3" customFormat="1" ht="40.5" customHeight="1" x14ac:dyDescent="0.15">
      <c r="A37" s="36" t="s">
        <v>353</v>
      </c>
      <c r="B37" s="44" t="str">
        <f>VLOOKUP($A37,Questions!$A$2:$X$333,2,0)</f>
        <v>Does your employee onboarding and offboarding policy include training of employees on information security and data privacy?</v>
      </c>
      <c r="C37" s="45" t="s">
        <v>26</v>
      </c>
      <c r="D37" s="86"/>
      <c r="E37" s="47" t="str">
        <f>IF($C37='Auto Responses'!$J$3,VLOOKUP($A37,Questions!$A$2:$X$333,17,0)&amp;"",IF($C37='Auto Responses'!$J$4,VLOOKUP($A37,Questions!$A$2:$X$333,16,0)&amp;"",IF($C37='Auto Responses'!$J$5,VLOOKUP($A37,Questions!$A$2:$X$333,18,0)&amp;"",VLOOKUP($A37,Questions!$A$2:$X$333,15,0)&amp;"")))</f>
        <v>Please provide any plans to develop and implement appropriate employee training as part of onboarding and offboarding.
If no plans currently exist, please provide information on any compensating measures your organization takes to address this issue.</v>
      </c>
      <c r="F37" s="98" t="str">
        <f>VLOOKUP($A37,'Privacy Analyst Evaluation'!$A$46:$F$120,6,0)&amp;""</f>
        <v/>
      </c>
      <c r="G37" s="62" t="s">
        <v>35</v>
      </c>
      <c r="H37" s="7"/>
    </row>
    <row r="38" spans="1:8" s="3" customFormat="1" ht="36.75" customHeight="1" x14ac:dyDescent="0.15">
      <c r="A38" s="32" t="str">
        <f>VLOOKUP(LEFT($A39,4),'Auto Responses'!$N$4:$O$38,2,0)&amp;""</f>
        <v xml:space="preserve"> Privacy of Third Parties</v>
      </c>
      <c r="B38" s="41"/>
      <c r="C38" s="20" t="s">
        <v>21</v>
      </c>
      <c r="D38" s="20" t="s">
        <v>22</v>
      </c>
      <c r="E38" s="42" t="s">
        <v>23</v>
      </c>
      <c r="F38" s="89" t="s">
        <v>24</v>
      </c>
      <c r="H38" s="7"/>
    </row>
    <row r="39" spans="1:8" s="3" customFormat="1" ht="108" customHeight="1" x14ac:dyDescent="0.15">
      <c r="A39" s="36" t="s">
        <v>354</v>
      </c>
      <c r="B39" s="44" t="str">
        <f>VLOOKUP($A39,Questions!$A$2:$X$333,2,0)</f>
        <v>Do you have contractual agreements with third parties that require them to maintain standards and to comply with all regulatory requirements?*</v>
      </c>
      <c r="C39" s="45" t="s">
        <v>30</v>
      </c>
      <c r="D39" s="86" t="s">
        <v>355</v>
      </c>
      <c r="E39" s="47" t="str">
        <f>IF($C39='Auto Responses'!$J$3,VLOOKUP($A39,Questions!$A$2:$X$333,17,0)&amp;"",IF($C39='Auto Responses'!$J$4,VLOOKUP($A39,Questions!$A$2:$X$333,16,0)&amp;"",IF($C39='Auto Responses'!$J$5,VLOOKUP($A39,Questions!$A$2:$X$333,18,0)&amp;"",VLOOKUP($A39,Questions!$A$2:$X$333,15,0)&amp;"")))</f>
        <v>Provide a summary of the contractual language used and your processes for ensuring appropriate language is regularly reviewed and is included in both new and renewed agreements.</v>
      </c>
      <c r="F39" s="98" t="str">
        <f>VLOOKUP($A39,'Privacy Analyst Evaluation'!$A$46:$F$120,6,0)&amp;""</f>
        <v/>
      </c>
      <c r="H39" s="7"/>
    </row>
    <row r="40" spans="1:8" s="3" customFormat="1" ht="121.5" customHeight="1" x14ac:dyDescent="0.15">
      <c r="A40" s="36" t="s">
        <v>356</v>
      </c>
      <c r="B40" s="44" t="str">
        <f>VLOOKUP($A40,Questions!$A$2:$X$333,2,0)</f>
        <v>Do you perform privacy impact assessments of third parties that collect, process, or have access to personal data to ensure they meet industry and regulatory standards and to mitigate harmful, unethical, or discriminatory impacts on data subjects?</v>
      </c>
      <c r="C40" s="45" t="s">
        <v>26</v>
      </c>
      <c r="D40" s="86" t="s">
        <v>357</v>
      </c>
      <c r="E40" s="47" t="str">
        <f>IF($C40='Auto Responses'!$J$3,VLOOKUP($A40,Questions!$A$2:$X$333,17,0)&amp;"",IF($C40='Auto Responses'!$J$4,VLOOKUP($A40,Questions!$A$2:$X$333,16,0)&amp;"",IF($C40='Auto Responses'!$J$5,VLOOKUP($A40,Questions!$A$2:$X$333,18,0)&amp;"",VLOOKUP($A40,Questions!$A$2:$X$333,15,0)&amp;"")))</f>
        <v>State your plans to perform data privacy assessments of third parties, including anticipated timelines and remediations if existing third parties cannot maintain or ensure privacy and security of client data entrusted to your organization.</v>
      </c>
      <c r="F40" s="98" t="str">
        <f>VLOOKUP($A40,'Privacy Analyst Evaluation'!$A$46:$F$120,6,0)&amp;""</f>
        <v/>
      </c>
      <c r="G40" s="62" t="s">
        <v>35</v>
      </c>
      <c r="H40" s="7"/>
    </row>
    <row r="41" spans="1:8" s="3" customFormat="1" ht="36.75" customHeight="1" x14ac:dyDescent="0.15">
      <c r="A41" s="32" t="str">
        <f>VLOOKUP(LEFT($A42,4),'Auto Responses'!$N$4:$O$38,2,0)&amp;""</f>
        <v xml:space="preserve"> Privacy Change Management</v>
      </c>
      <c r="B41" s="41"/>
      <c r="C41" s="20" t="s">
        <v>21</v>
      </c>
      <c r="D41" s="20" t="s">
        <v>22</v>
      </c>
      <c r="E41" s="42" t="s">
        <v>23</v>
      </c>
      <c r="F41" s="89" t="s">
        <v>24</v>
      </c>
      <c r="H41" s="7"/>
    </row>
    <row r="42" spans="1:8" s="3" customFormat="1" ht="54" customHeight="1" x14ac:dyDescent="0.15">
      <c r="A42" s="36" t="s">
        <v>358</v>
      </c>
      <c r="B42" s="44" t="str">
        <f>VLOOKUP($A42,Questions!$A$2:$X$333,2,0)</f>
        <v>Does your change management process include privacy review and approval?</v>
      </c>
      <c r="C42" s="45" t="s">
        <v>26</v>
      </c>
      <c r="D42" s="86"/>
      <c r="E42" s="47" t="str">
        <f>IF($C42='Auto Responses'!$J$3,VLOOKUP($A42,Questions!$A$2:$X$333,17,0)&amp;"",IF($C42='Auto Responses'!$J$4,VLOOKUP($A42,Questions!$A$2:$X$333,16,0)&amp;"",VLOOKUP($A42,Questions!$A$2:$X$333,15,0)&amp;""))</f>
        <v>Describe any plans to implement.</v>
      </c>
      <c r="F42" s="98" t="str">
        <f>VLOOKUP($A42,'Privacy Analyst Evaluation'!$A$46:$F$120,6,0)&amp;""</f>
        <v/>
      </c>
      <c r="H42" s="7"/>
    </row>
    <row r="43" spans="1:8" s="3" customFormat="1" ht="46.5" customHeight="1" x14ac:dyDescent="0.15">
      <c r="A43" s="36" t="s">
        <v>359</v>
      </c>
      <c r="B43" s="44" t="str">
        <f>VLOOKUP($A43,Questions!$A$2:$X$333,2,0)</f>
        <v>Do you have policy and procedure, currently implemented, guiding how privacy risks are mitigated until they can be resolved?</v>
      </c>
      <c r="C43" s="45" t="s">
        <v>26</v>
      </c>
      <c r="D43" s="86"/>
      <c r="E43" s="47" t="str">
        <f>IF($C43='Auto Responses'!$J$3,VLOOKUP($A43,Questions!$A$2:$X$333,17,0)&amp;"",IF($C43='Auto Responses'!$J$4,VLOOKUP($A43,Questions!$A$2:$X$333,16,0)&amp;"",VLOOKUP($A43,Questions!$A$2:$X$333,15,0)&amp;""))</f>
        <v>Describe any plans to implement.</v>
      </c>
      <c r="F43" s="98" t="str">
        <f>VLOOKUP($A43,'Privacy Analyst Evaluation'!$A$46:$F$120,6,0)&amp;""</f>
        <v/>
      </c>
      <c r="G43" s="62" t="s">
        <v>35</v>
      </c>
      <c r="H43" s="7"/>
    </row>
    <row r="44" spans="1:8" s="3" customFormat="1" ht="36.75" customHeight="1" x14ac:dyDescent="0.15">
      <c r="A44" s="32" t="str">
        <f>VLOOKUP(LEFT($A45,4),'Auto Responses'!$N$4:$O$38,2,0)&amp;""</f>
        <v xml:space="preserve"> Privacy of Sensitive Data</v>
      </c>
      <c r="B44" s="41"/>
      <c r="C44" s="20" t="s">
        <v>21</v>
      </c>
      <c r="D44" s="20" t="s">
        <v>22</v>
      </c>
      <c r="E44" s="42" t="s">
        <v>23</v>
      </c>
      <c r="F44" s="89" t="s">
        <v>24</v>
      </c>
      <c r="H44" s="7"/>
    </row>
    <row r="45" spans="1:8" s="3" customFormat="1" ht="192.75" customHeight="1" x14ac:dyDescent="0.15">
      <c r="A45" s="36" t="s">
        <v>360</v>
      </c>
      <c r="B45" s="44" t="str">
        <f>VLOOKUP($A45,Questions!$A$2:$X$333,2,0)</f>
        <v>Do you collect, process, or store demographic information?*</v>
      </c>
      <c r="C45" s="45" t="s">
        <v>26</v>
      </c>
      <c r="D45" s="86"/>
      <c r="E45" s="47" t="str">
        <f>IF($C45='Auto Responses'!$J$3,VLOOKUP($A45,Questions!$A$2:$X$333,17,0)&amp;"",IF($C45='Auto Responses'!$J$4,VLOOKUP($A45,Questions!$A$2:$X$333,16,0)&amp;"",VLOOKUP($A45,Questions!$A$2:$X$333,15,0)&amp;""))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98" t="str">
        <f>VLOOKUP($A45,'Privacy Analyst Evaluation'!$A$46:$F$120,6,0)&amp;""</f>
        <v/>
      </c>
      <c r="H45" s="7"/>
    </row>
    <row r="46" spans="1:8" s="3" customFormat="1" ht="202.5" customHeight="1" x14ac:dyDescent="0.15">
      <c r="A46" s="36" t="s">
        <v>361</v>
      </c>
      <c r="B46" s="44" t="str">
        <f>VLOOKUP($A46,Questions!$A$2:$X$333,2,0)</f>
        <v>Do you capture or create genetic, biometric, or behaviometric information (e.g., facial recognition or fingerprints)?*</v>
      </c>
      <c r="C46" s="45" t="s">
        <v>26</v>
      </c>
      <c r="D46" s="86"/>
      <c r="E46" s="47" t="str">
        <f>IF($C46='Auto Responses'!$J$3,VLOOKUP($A46,Questions!$A$2:$X$333,17,0)&amp;"",IF($C46='Auto Responses'!$J$4,VLOOKUP($A46,Questions!$A$2:$X$333,16,0)&amp;"",VLOOKUP($A46,Questions!$A$2:$X$333,15,0)&amp;""))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98" t="str">
        <f>VLOOKUP($A46,'Privacy Analyst Evaluation'!$A$46:$F$120,6,0)&amp;""</f>
        <v/>
      </c>
      <c r="H46" s="7"/>
    </row>
    <row r="47" spans="1:8" s="3" customFormat="1" ht="135" customHeight="1" x14ac:dyDescent="0.15">
      <c r="A47" s="36" t="s">
        <v>362</v>
      </c>
      <c r="B47" s="44" t="str">
        <f>VLOOKUP($A47,Questions!$A$2:$X$333,2,0)</f>
        <v>Do you combine institutional data (including "de-identified," "anonymized," or otherwise masked data) with personal data from any other sources?*</v>
      </c>
      <c r="C47" s="45" t="s">
        <v>26</v>
      </c>
      <c r="D47" s="86"/>
      <c r="E47" s="47" t="str">
        <f>IF($C47='Auto Responses'!$J$3,VLOOKUP($A47,Questions!$A$2:$X$333,17,0)&amp;"",IF($C47='Auto Responses'!$J$4,VLOOKUP($A47,Questions!$A$2:$X$333,16,0)&amp;"",VLOOKUP($A47,Questions!$A$2:$X$333,15,0)&amp;""))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98" t="str">
        <f>VLOOKUP($A47,'Privacy Analyst Evaluation'!$A$46:$F$120,6,0)&amp;""</f>
        <v/>
      </c>
      <c r="H47" s="7"/>
    </row>
    <row r="48" spans="1:8" s="3" customFormat="1" ht="108" customHeight="1" x14ac:dyDescent="0.15">
      <c r="A48" s="36" t="s">
        <v>363</v>
      </c>
      <c r="B48" s="44" t="str">
        <f>VLOOKUP($A48,Questions!$A$2:$X$333,2,0)</f>
        <v>Is institutional data coming into or going out of the United States at any point during collection, processing, storage, or archiving?</v>
      </c>
      <c r="C48" s="45" t="s">
        <v>26</v>
      </c>
      <c r="D48" s="86"/>
      <c r="E48" s="47" t="str">
        <f>IF($C48='Auto Responses'!$J$3,VLOOKUP($A48,Questions!$A$2:$X$333,17,0)&amp;"",IF($C48='Auto Responses'!$J$4,VLOOKUP($A48,Questions!$A$2:$X$333,16,0)&amp;"",VLOOKUP($A48,Questions!$A$2:$X$333,15,0)&amp;""))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98" t="str">
        <f>VLOOKUP($A48,'Privacy Analyst Evaluation'!$A$46:$F$120,6,0)&amp;""</f>
        <v/>
      </c>
      <c r="H48" s="7"/>
    </row>
    <row r="49" spans="1:8" s="3" customFormat="1" ht="81" customHeight="1" x14ac:dyDescent="0.15">
      <c r="A49" s="36" t="s">
        <v>364</v>
      </c>
      <c r="B49" s="44" t="str">
        <f>VLOOKUP($A49,Questions!$A$2:$X$333,2,0)</f>
        <v>Do you capture device information (e.g., IP address, MAC address)?</v>
      </c>
      <c r="C49" s="45" t="s">
        <v>30</v>
      </c>
      <c r="D49" s="86" t="s">
        <v>365</v>
      </c>
      <c r="E49" s="47" t="str">
        <f>IF($C49='Auto Responses'!$J$3,VLOOKUP($A49,Questions!$A$2:$X$333,17,0)&amp;"",IF($C49='Auto Responses'!$J$4,VLOOKUP($A49,Questions!$A$2:$X$333,16,0)&amp;"",VLOOKUP($A49,Questions!$A$2:$X$333,15,0)&amp;""))</f>
        <v>Describe what information you collect and the reason for collecting it.</v>
      </c>
      <c r="F49" s="98" t="str">
        <f>VLOOKUP($A49,'Privacy Analyst Evaluation'!$A$46:$F$120,6,0)&amp;""</f>
        <v/>
      </c>
      <c r="H49" s="7"/>
    </row>
    <row r="50" spans="1:8" s="3" customFormat="1" ht="49.5" customHeight="1" x14ac:dyDescent="0.15">
      <c r="A50" s="36" t="s">
        <v>366</v>
      </c>
      <c r="B50" s="44" t="str">
        <f>VLOOKUP($A50,Questions!$A$2:$X$333,2,0)</f>
        <v>Does any part of this service/project involve a web/app tracking component (e.g., use of web-tracking pixels, cookies)?</v>
      </c>
      <c r="C50" s="45" t="s">
        <v>30</v>
      </c>
      <c r="D50" s="86" t="s">
        <v>367</v>
      </c>
      <c r="E50" s="47" t="str">
        <f>IF($C50='Auto Responses'!$J$3,VLOOKUP($A50,Questions!$A$2:$X$333,17,0)&amp;"",IF($C50='Auto Responses'!$J$4,VLOOKUP($A50,Questions!$A$2:$X$333,16,0)&amp;"",VLOOKUP($A50,Questions!$A$2:$X$333,15,0)&amp;""))</f>
        <v>Describe the tracking component and what is done with the information.</v>
      </c>
      <c r="F50" s="98" t="str">
        <f>VLOOKUP($A50,'Privacy Analyst Evaluation'!$A$46:$F$120,6,0)&amp;""</f>
        <v/>
      </c>
      <c r="H50" s="7"/>
    </row>
    <row r="51" spans="1:8" s="3" customFormat="1" ht="44.25" customHeight="1" x14ac:dyDescent="0.15">
      <c r="A51" s="36" t="s">
        <v>368</v>
      </c>
      <c r="B51" s="44" t="str">
        <f>VLOOKUP($A51,Questions!$A$2:$X$333,2,0)</f>
        <v>Does your staff (or a third party) have access to institutional data (e.g., financial, PHI, or other sensitive information) through any means?</v>
      </c>
      <c r="C51" s="45" t="s">
        <v>26</v>
      </c>
      <c r="D51" s="86" t="s">
        <v>369</v>
      </c>
      <c r="E51" s="47" t="str">
        <f>IF($C51='Auto Responses'!$J$3,VLOOKUP($A51,Questions!$A$2:$X$333,17,0)&amp;"",IF($C51='Auto Responses'!$J$4,VLOOKUP($A51,Questions!$A$2:$X$333,16,0)&amp;"",VLOOKUP($A51,Questions!$A$2:$X$333,15,0)&amp;""))</f>
        <v>Accessing institutional data may be necessary for legitimate business purposes.</v>
      </c>
      <c r="F51" s="98" t="str">
        <f>VLOOKUP($A51,'Privacy Analyst Evaluation'!$A$46:$F$120,6,0)&amp;""</f>
        <v/>
      </c>
      <c r="H51" s="7"/>
    </row>
    <row r="52" spans="1:8" s="3" customFormat="1" ht="52.5" customHeight="1" x14ac:dyDescent="0.15">
      <c r="A52" s="36" t="s">
        <v>370</v>
      </c>
      <c r="B52" s="44" t="str">
        <f>VLOOKUP($A52,Questions!$A$2:$X$333,2,0)</f>
        <v>Will you handle personal data in a manner compliant with all relevant laws, regulations, and applicable institution policies?</v>
      </c>
      <c r="C52" s="45" t="s">
        <v>30</v>
      </c>
      <c r="D52" s="86" t="s">
        <v>371</v>
      </c>
      <c r="E52" s="47" t="str">
        <f>IF($C52='Auto Responses'!$J$3,VLOOKUP($A52,Questions!$A$2:$X$333,17,0)&amp;"",IF($C52='Auto Responses'!$J$4,VLOOKUP($A52,Questions!$A$2:$X$333,16,0)&amp;"",VLOOKUP($A52,Questions!$A$2:$X$333,15,0)&amp;""))</f>
        <v/>
      </c>
      <c r="F52" s="98" t="str">
        <f>VLOOKUP($A52,'Privacy Analyst Evaluation'!$A$46:$F$120,6,0)&amp;""</f>
        <v/>
      </c>
      <c r="G52" s="62" t="s">
        <v>35</v>
      </c>
      <c r="H52" s="7"/>
    </row>
    <row r="53" spans="1:8" s="3" customFormat="1" ht="36.75" customHeight="1" x14ac:dyDescent="0.15">
      <c r="A53" s="32" t="str">
        <f>VLOOKUP(LEFT($A54,4),'Auto Responses'!$N$4:$O$38,2,0)&amp;""</f>
        <v xml:space="preserve"> Privacy Policies and Procedures</v>
      </c>
      <c r="B53" s="41"/>
      <c r="C53" s="20" t="s">
        <v>21</v>
      </c>
      <c r="D53" s="20" t="s">
        <v>22</v>
      </c>
      <c r="E53" s="42" t="s">
        <v>23</v>
      </c>
      <c r="F53" s="89" t="s">
        <v>24</v>
      </c>
      <c r="H53" s="7"/>
    </row>
    <row r="54" spans="1:8" s="3" customFormat="1" ht="26.25" customHeight="1" x14ac:dyDescent="0.15">
      <c r="A54" s="36" t="s">
        <v>372</v>
      </c>
      <c r="B54" s="44" t="str">
        <f>VLOOKUP($A54,Questions!$A$2:$X$333,2,0)</f>
        <v>Do you have a documented privacy management process?</v>
      </c>
      <c r="C54" s="45" t="s">
        <v>26</v>
      </c>
      <c r="D54" s="86"/>
      <c r="E54" s="47" t="str">
        <f>IF($C54='Auto Responses'!$J$3,VLOOKUP($A54,Questions!$A$2:$X$333,17,0)&amp;"",IF($C54='Auto Responses'!$J$4,VLOOKUP($A54,Questions!$A$2:$X$333,16,0)&amp;"",VLOOKUP($A54,Questions!$A$2:$X$333,15,0)&amp;""))</f>
        <v>Are there plans to implement? If so, when will this be completed?</v>
      </c>
      <c r="F54" s="98" t="str">
        <f>VLOOKUP($A54,'Privacy Analyst Evaluation'!$A$46:$F$120,6,0)&amp;""</f>
        <v/>
      </c>
      <c r="H54" s="7"/>
    </row>
    <row r="55" spans="1:8" s="3" customFormat="1" ht="40.5" customHeight="1" x14ac:dyDescent="0.15">
      <c r="A55" s="36" t="s">
        <v>373</v>
      </c>
      <c r="B55" s="44" t="str">
        <f>VLOOKUP($A55,Questions!$A$2:$X$333,2,0)</f>
        <v>Are privacy principles designed into the product lifecycle (i.e., privacy-by-design)?</v>
      </c>
      <c r="C55" s="45" t="s">
        <v>30</v>
      </c>
      <c r="D55" s="86" t="s">
        <v>374</v>
      </c>
      <c r="E55" s="47" t="str">
        <f>IF($C55='Auto Responses'!$J$3,VLOOKUP($A55,Questions!$A$2:$X$333,17,0)&amp;"",IF($C55='Auto Responses'!$J$4,VLOOKUP($A55,Questions!$A$2:$X$333,16,0)&amp;"",VLOOKUP($A55,Questions!$A$2:$X$333,15,0)&amp;""))</f>
        <v>Summarize the privacy principles designed into the product lifecycle.</v>
      </c>
      <c r="F55" s="98" t="str">
        <f>VLOOKUP($A55,'Privacy Analyst Evaluation'!$A$46:$F$120,6,0)&amp;""</f>
        <v/>
      </c>
      <c r="H55" s="7"/>
    </row>
    <row r="56" spans="1:8" s="3" customFormat="1" ht="33" customHeight="1" x14ac:dyDescent="0.15">
      <c r="A56" s="36" t="s">
        <v>375</v>
      </c>
      <c r="B56" s="44" t="str">
        <f>VLOOKUP($A56,Questions!$A$2:$X$333,2,0)</f>
        <v>Will you comply with applicable breach notification laws?</v>
      </c>
      <c r="C56" s="45" t="s">
        <v>30</v>
      </c>
      <c r="D56" s="86"/>
      <c r="E56" s="47" t="str">
        <f>IF($C56='Auto Responses'!$J$3,VLOOKUP($A56,Questions!$A$2:$X$333,17,0)&amp;"",IF($C56='Auto Responses'!$J$4,VLOOKUP($A56,Questions!$A$2:$X$333,16,0)&amp;"",VLOOKUP($A56,Questions!$A$2:$X$333,15,0)&amp;""))</f>
        <v>State how quickly the institution will be notified once a breach is identified, in addition to notifying the necessary governmental agencies based on the extent of the breach.</v>
      </c>
      <c r="F56" s="98" t="str">
        <f>VLOOKUP($A56,'Privacy Analyst Evaluation'!$A$46:$F$120,6,0)&amp;""</f>
        <v/>
      </c>
      <c r="H56" s="7"/>
    </row>
    <row r="57" spans="1:8" s="3" customFormat="1" ht="39.75" customHeight="1" x14ac:dyDescent="0.15">
      <c r="A57" s="36" t="s">
        <v>376</v>
      </c>
      <c r="B57" s="44" t="str">
        <f>VLOOKUP($A57,Questions!$A$2:$X$333,2,0)</f>
        <v>Will you comply with the institution's policies regarding user privacy and data protection?</v>
      </c>
      <c r="C57" s="45" t="s">
        <v>30</v>
      </c>
      <c r="D57" s="86"/>
      <c r="E57" s="47" t="str">
        <f>IF($C57='Auto Responses'!$J$3,VLOOKUP($A57,Questions!$A$2:$X$333,17,0)&amp;"",IF($C57='Auto Responses'!$J$4,VLOOKUP($A57,Questions!$A$2:$X$333,16,0)&amp;"",VLOOKUP($A57,Questions!$A$2:$X$333,15,0)&amp;""))</f>
        <v/>
      </c>
      <c r="F57" s="98" t="str">
        <f>VLOOKUP($A57,'Privacy Analyst Evaluation'!$A$46:$F$120,6,0)&amp;""</f>
        <v/>
      </c>
      <c r="H57" s="7"/>
    </row>
    <row r="58" spans="1:8" s="3" customFormat="1" ht="40.5" customHeight="1" x14ac:dyDescent="0.15">
      <c r="A58" s="36" t="s">
        <v>377</v>
      </c>
      <c r="B58" s="44" t="str">
        <f>VLOOKUP($A58,Questions!$A$2:$X$333,2,0)</f>
        <v>Is your company subject to the laws and regulations of the institution's geographic region?</v>
      </c>
      <c r="C58" s="45" t="s">
        <v>30</v>
      </c>
      <c r="D58" s="86" t="s">
        <v>378</v>
      </c>
      <c r="E58" s="47" t="str">
        <f>IF($C58='Auto Responses'!$J$3,VLOOKUP($A58,Questions!$A$2:$X$333,17,0)&amp;"",IF($C58='Auto Responses'!$J$4,VLOOKUP($A58,Questions!$A$2:$X$333,16,0)&amp;"",VLOOKUP($A58,Questions!$A$2:$X$333,15,0)&amp;""))</f>
        <v/>
      </c>
      <c r="F58" s="98" t="str">
        <f>VLOOKUP($A58,'Privacy Analyst Evaluation'!$A$46:$F$120,6,0)&amp;""</f>
        <v/>
      </c>
      <c r="H58" s="7"/>
    </row>
    <row r="59" spans="1:8" s="3" customFormat="1" ht="94.5" customHeight="1" x14ac:dyDescent="0.15">
      <c r="A59" s="36" t="s">
        <v>379</v>
      </c>
      <c r="B59" s="44" t="str">
        <f>VLOOKUP($A59,Questions!$A$2:$X$333,2,0)</f>
        <v>Do you have a privacy awareness/training program?*</v>
      </c>
      <c r="C59" s="45" t="s">
        <v>26</v>
      </c>
      <c r="D59" s="86"/>
      <c r="E59" s="47" t="str">
        <f>IF($C59='Auto Responses'!$J$3,VLOOKUP($A59,Questions!$A$2:$X$333,17,0)&amp;"",IF($C59='Auto Responses'!$J$4,VLOOKUP($A59,Questions!$A$2:$X$333,16,0)&amp;"",VLOOKUP($A59,Questions!$A$2:$X$333,15,0)&amp;""))</f>
        <v>Describe plans to include data privacy training or why you have determined it is not needed.</v>
      </c>
      <c r="F59" s="98" t="str">
        <f>VLOOKUP($A59,'Privacy Analyst Evaluation'!$A$46:$F$120,6,0)&amp;""</f>
        <v/>
      </c>
      <c r="H59" s="7"/>
    </row>
    <row r="60" spans="1:8" s="3" customFormat="1" ht="29.25" customHeight="1" x14ac:dyDescent="0.15">
      <c r="A60" s="36" t="s">
        <v>380</v>
      </c>
      <c r="B60" s="44" t="str">
        <f>VLOOKUP($A60,Questions!$A$2:$X$333,2,0)</f>
        <v>Is privacy awareness training mandatory for all employees?</v>
      </c>
      <c r="C60" s="45" t="s">
        <v>26</v>
      </c>
      <c r="D60" s="86"/>
      <c r="E60" s="47" t="str">
        <f>IF($C60='Auto Responses'!$J$3,VLOOKUP($A60,Questions!$A$2:$X$333,17,0)&amp;"",IF($C60='Auto Responses'!$J$4,VLOOKUP($A60,Questions!$A$2:$X$333,16,0)&amp;"",VLOOKUP($A60,Questions!$A$2:$X$333,15,0)&amp;""))</f>
        <v>Describe plans to require.</v>
      </c>
      <c r="F60" s="98" t="str">
        <f>VLOOKUP($A60,'Privacy Analyst Evaluation'!$A$46:$F$120,6,0)&amp;""</f>
        <v/>
      </c>
      <c r="H60" s="7"/>
    </row>
    <row r="61" spans="1:8" s="3" customFormat="1" ht="39.75" customHeight="1" x14ac:dyDescent="0.15">
      <c r="A61" s="36" t="s">
        <v>381</v>
      </c>
      <c r="B61" s="44" t="str">
        <f>VLOOKUP($A61,Questions!$A$2:$X$333,2,0)</f>
        <v>Is AI privacy and ethics awareness/training required for all employees who work with AI?</v>
      </c>
      <c r="C61" s="45" t="s">
        <v>75</v>
      </c>
      <c r="D61" s="86"/>
      <c r="E61" s="47" t="str">
        <f>IF($C61='Auto Responses'!$J$3,VLOOKUP($A61,Questions!$A$2:$X$333,17,0)&amp;"",IF($C61='Auto Responses'!$J$4,VLOOKUP($A61,Questions!$A$2:$X$333,16,0)&amp;"",IF($C61='Auto Responses'!$J$5,VLOOKUP($A61,Questions!$A$2:$X$333,18,0)&amp;"",VLOOKUP($A61,Questions!$A$2:$X$333,15,0)&amp;"")))</f>
        <v>Please explain why this does not apply to your product or service.</v>
      </c>
      <c r="F61" s="98" t="str">
        <f>VLOOKUP($A61,'Privacy Analyst Evaluation'!$A$46:$F$120,6,0)&amp;""</f>
        <v/>
      </c>
      <c r="H61" s="7"/>
    </row>
    <row r="62" spans="1:8" s="3" customFormat="1" ht="94.5" customHeight="1" x14ac:dyDescent="0.15">
      <c r="A62" s="36" t="s">
        <v>382</v>
      </c>
      <c r="B62" s="44" t="str">
        <f>VLOOKUP($A62,Questions!$A$2:$X$333,2,0)</f>
        <v>Do you have any decision-making processes that are completely automated (i.e., there is no human involvement)?</v>
      </c>
      <c r="C62" s="45" t="s">
        <v>26</v>
      </c>
      <c r="D62" s="86"/>
      <c r="E62" s="47" t="str">
        <f>IF($C62='Auto Responses'!$J$3,VLOOKUP($A62,Questions!$A$2:$X$333,17,0)&amp;"",IF($C62='Auto Responses'!$J$4,VLOOKUP($A62,Questions!$A$2:$X$333,16,0)&amp;"",VLOOKUP($A62,Questions!$A$2:$X$333,15,0)&amp;""))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98" t="str">
        <f>VLOOKUP($A62,'Privacy Analyst Evaluation'!$A$46:$F$120,6,0)&amp;""</f>
        <v/>
      </c>
      <c r="H62" s="7"/>
    </row>
    <row r="63" spans="1:8" s="3" customFormat="1" ht="54" customHeight="1" x14ac:dyDescent="0.15">
      <c r="A63" s="36" t="s">
        <v>383</v>
      </c>
      <c r="B63" s="44" t="str">
        <f>VLOOKUP($A63,Questions!$A$2:$X$333,2,0)</f>
        <v>Do you have a documented process for managing automated processing, including validations, monitoring, and data subject requests?</v>
      </c>
      <c r="C63" s="45" t="s">
        <v>26</v>
      </c>
      <c r="D63" s="86"/>
      <c r="E63" s="47" t="str">
        <f>IF($C63='Auto Responses'!$J$3,VLOOKUP($A63,Questions!$A$2:$X$333,17,0)&amp;"",IF($C63='Auto Responses'!$J$4,VLOOKUP($A63,Questions!$A$2:$X$333,16,0)&amp;"",IF($C63='Auto Responses'!$J$5,VLOOKUP($A63,Questions!$A$2:$X$333,18,0)&amp;"",VLOOKUP($A63,Questions!$A$2:$X$333,15,0)&amp;"")))</f>
        <v>Describe plans to implement processes in the future.</v>
      </c>
      <c r="F63" s="98" t="str">
        <f>VLOOKUP($A63,'Privacy Analyst Evaluation'!$A$46:$F$120,6,0)&amp;""</f>
        <v/>
      </c>
      <c r="H63" s="7"/>
    </row>
    <row r="64" spans="1:8" s="3" customFormat="1" ht="40.5" customHeight="1" x14ac:dyDescent="0.15">
      <c r="A64" s="36" t="s">
        <v>384</v>
      </c>
      <c r="B64" s="44" t="str">
        <f>VLOOKUP($A64,Questions!$A$2:$X$333,2,0)</f>
        <v>Do you have a documented policy for sharing information with law enforcement?</v>
      </c>
      <c r="C64" s="45" t="s">
        <v>26</v>
      </c>
      <c r="D64" s="86"/>
      <c r="E64" s="47" t="str">
        <f>IF($C64='Auto Responses'!$J$3,VLOOKUP($A64,Questions!$A$2:$X$333,17,0)&amp;"",IF($C64='Auto Responses'!$J$4,VLOOKUP($A64,Questions!$A$2:$X$333,16,0)&amp;"",VLOOKUP($A64,Questions!$A$2:$X$333,15,0)&amp;""))</f>
        <v>Explain any plans to develop a policy. If no plans exist, explain why not.</v>
      </c>
      <c r="F64" s="98" t="str">
        <f>VLOOKUP($A64,'Privacy Analyst Evaluation'!$A$46:$F$120,6,0)&amp;""</f>
        <v/>
      </c>
      <c r="H64" s="7"/>
    </row>
    <row r="65" spans="1:8" s="3" customFormat="1" ht="39.75" customHeight="1" x14ac:dyDescent="0.15">
      <c r="A65" s="36" t="s">
        <v>385</v>
      </c>
      <c r="B65" s="44" t="str">
        <f>VLOOKUP($A65,Questions!$A$2:$X$333,2,0)</f>
        <v>Do you share any institutional data with law enforcement without a valid warrant or subpoena?*</v>
      </c>
      <c r="C65" s="45" t="s">
        <v>26</v>
      </c>
      <c r="D65" s="86"/>
      <c r="E65" s="47" t="str">
        <f>IF($C65='Auto Responses'!$J$3,VLOOKUP($A65,Questions!$A$2:$X$333,17,0)&amp;"",IF($C65='Auto Responses'!$J$4,VLOOKUP($A65,Questions!$A$2:$X$333,16,0)&amp;"",VLOOKUP($A65,Questions!$A$2:$X$333,15,0)&amp;""))</f>
        <v>Describe how you ensure this does not occur.</v>
      </c>
      <c r="F65" s="98" t="str">
        <f>VLOOKUP($A65,'Privacy Analyst Evaluation'!$A$46:$F$120,6,0)&amp;""</f>
        <v/>
      </c>
      <c r="H65" s="7"/>
    </row>
    <row r="66" spans="1:8" s="3" customFormat="1" ht="26.25" customHeight="1" x14ac:dyDescent="0.15">
      <c r="A66" s="36" t="s">
        <v>386</v>
      </c>
      <c r="B66" s="44" t="str">
        <f>VLOOKUP($A66,Questions!$A$2:$X$333,2,0)</f>
        <v>Does your incident response team include a privacy analyst/officer?</v>
      </c>
      <c r="C66" s="45" t="s">
        <v>26</v>
      </c>
      <c r="D66" s="86"/>
      <c r="E66" s="47" t="str">
        <f>IF($C66='Auto Responses'!$J$3,VLOOKUP($A66,Questions!$A$2:$X$333,17,0)&amp;"",IF($C66='Auto Responses'!$J$4,VLOOKUP($A66,Questions!$A$2:$X$333,16,0)&amp;"",VLOOKUP($A66,Questions!$A$2:$X$333,15,0)&amp;""))</f>
        <v>Explain why not</v>
      </c>
      <c r="F66" s="98" t="str">
        <f>VLOOKUP($A66,'Privacy Analyst Evaluation'!$A$46:$F$120,6,0)&amp;""</f>
        <v/>
      </c>
      <c r="G66" s="62" t="s">
        <v>35</v>
      </c>
      <c r="H66" s="7"/>
    </row>
    <row r="67" spans="1:8" s="3" customFormat="1" ht="36.75" customHeight="1" x14ac:dyDescent="0.15">
      <c r="A67" s="32" t="str">
        <f>VLOOKUP(LEFT($A68,4),'Auto Responses'!$N$4:$O$38,2,0)&amp;""</f>
        <v xml:space="preserve"> International Privacy</v>
      </c>
      <c r="B67" s="41"/>
      <c r="C67" s="20" t="s">
        <v>21</v>
      </c>
      <c r="D67" s="20" t="s">
        <v>22</v>
      </c>
      <c r="E67" s="42" t="s">
        <v>23</v>
      </c>
      <c r="F67" s="89" t="s">
        <v>24</v>
      </c>
      <c r="H67" s="7"/>
    </row>
    <row r="68" spans="1:8" s="3" customFormat="1" ht="42.75" customHeight="1" x14ac:dyDescent="0.15">
      <c r="A68" s="36" t="s">
        <v>387</v>
      </c>
      <c r="B68" s="44" t="str">
        <f>VLOOKUP($A68,Questions!$A$2:$X$333,2,0)</f>
        <v>Will data be collected from or processed in or stored in the European Economic Area (EEA)?</v>
      </c>
      <c r="C68" s="45" t="s">
        <v>30</v>
      </c>
      <c r="D68" s="86" t="s">
        <v>388</v>
      </c>
      <c r="E68" s="47" t="str">
        <f>IF($C68='Auto Responses'!$J$3,VLOOKUP($A68,Questions!$A$2:$X$333,17,0)&amp;"",IF($C68='Auto Responses'!$J$4,VLOOKUP($A68,Questions!$A$2:$X$333,16,0)&amp;"",VLOOKUP($A68,Questions!$A$2:$X$333,15,0)&amp;""))</f>
        <v>Describe where and what activities will take place in the EEA.</v>
      </c>
      <c r="F68" s="98" t="str">
        <f>VLOOKUP($A68,'Privacy Analyst Evaluation'!$A$46:$F$120,6,0)&amp;""</f>
        <v/>
      </c>
      <c r="H68" s="7"/>
    </row>
    <row r="69" spans="1:8" s="3" customFormat="1" ht="28.5" customHeight="1" x14ac:dyDescent="0.15">
      <c r="A69" s="36" t="s">
        <v>389</v>
      </c>
      <c r="B69" s="44" t="str">
        <f>VLOOKUP($A69,Questions!$A$2:$X$333,2,0)</f>
        <v>Do you have a data protection officer (DPO)?</v>
      </c>
      <c r="C69" s="45" t="s">
        <v>26</v>
      </c>
      <c r="D69" s="86"/>
      <c r="E69" s="47" t="str">
        <f>IF($C69='Auto Responses'!$J$3,VLOOKUP($A69,Questions!$A$2:$X$333,17,0)&amp;"",IF($C69='Auto Responses'!$J$4,VLOOKUP($A69,Questions!$A$2:$X$333,16,0)&amp;"",VLOOKUP($A69,Questions!$A$2:$X$333,15,0)&amp;""))</f>
        <v>Explain why not</v>
      </c>
      <c r="F69" s="98" t="str">
        <f>VLOOKUP($A69,'Privacy Analyst Evaluation'!$A$46:$F$120,6,0)&amp;""</f>
        <v/>
      </c>
      <c r="H69" s="7"/>
    </row>
    <row r="70" spans="1:8" s="3" customFormat="1" ht="38.25" customHeight="1" x14ac:dyDescent="0.15">
      <c r="A70" s="36" t="s">
        <v>390</v>
      </c>
      <c r="B70" s="44" t="str">
        <f>VLOOKUP($A70,Questions!$A$2:$X$333,2,0)</f>
        <v>Will you sign appropriate GDPR Standard Contractual Clauses (SCCs) with the institution?</v>
      </c>
      <c r="C70" s="45" t="s">
        <v>30</v>
      </c>
      <c r="D70" s="86" t="s">
        <v>391</v>
      </c>
      <c r="E70" s="47" t="str">
        <f>IF($C70='Auto Responses'!$J$3,VLOOKUP($A70,Questions!$A$2:$X$333,17,0)&amp;"",IF($C70='Auto Responses'!$J$4,VLOOKUP($A70,Questions!$A$2:$X$333,16,0)&amp;"",VLOOKUP($A70,Questions!$A$2:$X$333,15,0)&amp;""))</f>
        <v/>
      </c>
      <c r="F70" s="98" t="str">
        <f>VLOOKUP($A70,'Privacy Analyst Evaluation'!$A$46:$F$120,6,0)&amp;""</f>
        <v/>
      </c>
      <c r="H70" s="7"/>
    </row>
    <row r="71" spans="1:8" s="3" customFormat="1" ht="25.5" customHeight="1" x14ac:dyDescent="0.15">
      <c r="A71" s="36" t="s">
        <v>392</v>
      </c>
      <c r="B71" s="44" t="str">
        <f>VLOOKUP($A71,Questions!$A$2:$X$333,2,0)</f>
        <v>Will data be collected from or processed in or stored in China?</v>
      </c>
      <c r="C71" s="45" t="s">
        <v>26</v>
      </c>
      <c r="D71" s="86"/>
      <c r="E71" s="47" t="str">
        <f>IF($C71='Auto Responses'!$J$3,VLOOKUP($A71,Questions!$A$2:$X$333,17,0)&amp;"",IF($C71='Auto Responses'!$J$4,VLOOKUP($A71,Questions!$A$2:$X$333,16,0)&amp;"",VLOOKUP($A71,Questions!$A$2:$X$333,15,0)&amp;""))</f>
        <v>See PIPL Chapter 1 for definitions.</v>
      </c>
      <c r="F71" s="98" t="str">
        <f>VLOOKUP($A71,'Privacy Analyst Evaluation'!$A$46:$F$120,6,0)&amp;""</f>
        <v/>
      </c>
      <c r="H71" s="7"/>
    </row>
    <row r="72" spans="1:8" s="3" customFormat="1" ht="43.5" customHeight="1" x14ac:dyDescent="0.15">
      <c r="A72" s="36" t="s">
        <v>393</v>
      </c>
      <c r="B72" s="44" t="str">
        <f>VLOOKUP($A72,Questions!$A$2:$X$333,2,0)</f>
        <v>Do you comply with PIPL security, privacy, and data localization requirements?</v>
      </c>
      <c r="C72" s="45" t="s">
        <v>75</v>
      </c>
      <c r="D72" s="86"/>
      <c r="E72" s="47" t="str">
        <f>IF($C72='Auto Responses'!$J$3,VLOOKUP($A72,Questions!$A$2:$X$333,17,0)&amp;"",IF($C72='Auto Responses'!$J$4,VLOOKUP($A72,Questions!$A$2:$X$333,16,0)&amp;"",IF($C72='Auto Responses'!$J$5,VLOOKUP($A72,Questions!$A$2:$X$333,18,0)&amp;"",VLOOKUP($A72,Questions!$A$2:$X$333,15,0)&amp;"")))</f>
        <v>Please explain why this does not apply to your product or service.</v>
      </c>
      <c r="F72" s="98" t="str">
        <f>VLOOKUP($A72,'Privacy Analyst Evaluation'!$A$46:$F$120,6,0)&amp;""</f>
        <v/>
      </c>
      <c r="G72" s="62" t="s">
        <v>35</v>
      </c>
      <c r="H72" s="7"/>
    </row>
    <row r="73" spans="1:8" s="3" customFormat="1" ht="36.75" customHeight="1" x14ac:dyDescent="0.15">
      <c r="A73" s="32" t="str">
        <f>VLOOKUP(LEFT($A74,4),'Auto Responses'!$N$4:$O$38,2,0)&amp;""</f>
        <v xml:space="preserve"> Data Privacy</v>
      </c>
      <c r="B73" s="41"/>
      <c r="C73" s="20" t="s">
        <v>21</v>
      </c>
      <c r="D73" s="20" t="s">
        <v>22</v>
      </c>
      <c r="E73" s="42" t="s">
        <v>23</v>
      </c>
      <c r="F73" s="89" t="s">
        <v>24</v>
      </c>
      <c r="H73" s="7"/>
    </row>
    <row r="74" spans="1:8" s="3" customFormat="1" ht="39.75" customHeight="1" x14ac:dyDescent="0.15">
      <c r="A74" s="36" t="s">
        <v>394</v>
      </c>
      <c r="B74" s="44" t="str">
        <f>VLOOKUP($A74,Questions!$A$2:$X$333,2,0)</f>
        <v>Have you performed a Data Privacy Impact Assessment for the solution/project?</v>
      </c>
      <c r="C74" s="45" t="s">
        <v>26</v>
      </c>
      <c r="D74" s="86"/>
      <c r="E74" s="47" t="str">
        <f>IF($C74='Auto Responses'!$J$3,VLOOKUP($A74,Questions!$A$2:$X$333,17,0)&amp;"",IF($C74='Auto Responses'!$J$4,VLOOKUP($A74,Questions!$A$2:$X$333,16,0)&amp;"",VLOOKUP($A74,Questions!$A$2:$X$333,15,0)&amp;""))</f>
        <v>Provide timeline for this or reason not to perform.</v>
      </c>
      <c r="F74" s="98" t="str">
        <f>VLOOKUP($A74,'Privacy Analyst Evaluation'!$A$46:$F$120,6,0)&amp;""</f>
        <v/>
      </c>
      <c r="H74" s="7"/>
    </row>
    <row r="75" spans="1:8" s="3" customFormat="1" ht="54.75" customHeight="1" x14ac:dyDescent="0.15">
      <c r="A75" s="36" t="s">
        <v>395</v>
      </c>
      <c r="B75" s="44" t="str">
        <f>VLOOKUP($A75,Questions!$A$2:$X$333,2,0)</f>
        <v>Do you provide an end-user privacy notice about privacy policies and procedures that identify the purpose(s) for which personal information is collected, used, retained, and disclosed?</v>
      </c>
      <c r="C75" s="45" t="s">
        <v>30</v>
      </c>
      <c r="D75" s="86" t="s">
        <v>396</v>
      </c>
      <c r="E75" s="47" t="str">
        <f>IF($C75='Auto Responses'!$J$3,VLOOKUP($A75,Questions!$A$2:$X$333,17,0)&amp;"",IF($C75='Auto Responses'!$J$4,VLOOKUP($A75,Questions!$A$2:$X$333,16,0)&amp;"",VLOOKUP($A75,Questions!$A$2:$X$333,15,0)&amp;""))</f>
        <v>Provide link or copy.</v>
      </c>
      <c r="F75" s="98" t="str">
        <f>VLOOKUP($A75,'Privacy Analyst Evaluation'!$A$46:$F$120,6,0)&amp;""</f>
        <v/>
      </c>
      <c r="H75" s="7"/>
    </row>
    <row r="76" spans="1:8" s="3" customFormat="1" ht="54" customHeight="1" x14ac:dyDescent="0.15">
      <c r="A76" s="36" t="s">
        <v>397</v>
      </c>
      <c r="B76" s="44" t="str">
        <f>VLOOKUP($A76,Questions!$A$2:$X$333,2,0)</f>
        <v>Do you describe the choices available to the individual and obtain implicit or explicit consent with respect to the collection, use, and disclosure of personal information?</v>
      </c>
      <c r="C76" s="45" t="s">
        <v>30</v>
      </c>
      <c r="D76" s="86" t="s">
        <v>398</v>
      </c>
      <c r="E76" s="47" t="str">
        <f>IF($C76='Auto Responses'!$J$3,VLOOKUP($A76,Questions!$A$2:$X$333,17,0)&amp;"",IF($C76='Auto Responses'!$J$4,VLOOKUP($A76,Questions!$A$2:$X$333,16,0)&amp;"",IF($C76='Auto Responses'!$J$5,VLOOKUP($A76,Questions!$A$2:$X$333,18,0)&amp;"",VLOOKUP($A76,Questions!$A$2:$X$333,15,0)&amp;"")))</f>
        <v>Provide copy, link, or summary overview.</v>
      </c>
      <c r="F76" s="98" t="str">
        <f>VLOOKUP($A76,'Privacy Analyst Evaluation'!$A$46:$F$120,6,0)&amp;""</f>
        <v/>
      </c>
      <c r="H76" s="7"/>
    </row>
    <row r="77" spans="1:8" s="3" customFormat="1" ht="57" customHeight="1" x14ac:dyDescent="0.15">
      <c r="A77" s="36" t="s">
        <v>399</v>
      </c>
      <c r="B77" s="44" t="str">
        <f>VLOOKUP($A77,Questions!$A$2:$X$333,2,0)</f>
        <v>Do you collect personal information only for the purpose(s) identified in the agreement with an institution or, if there is none, the purpose(s) identified in the privacy notice?</v>
      </c>
      <c r="C77" s="45" t="s">
        <v>30</v>
      </c>
      <c r="D77" s="86" t="s">
        <v>400</v>
      </c>
      <c r="E77" s="47" t="str">
        <f>IF($C77='Auto Responses'!$J$3,VLOOKUP($A77,Questions!$A$2:$X$333,17,0)&amp;"",IF($C77='Auto Responses'!$J$4,VLOOKUP($A77,Questions!$A$2:$X$333,16,0)&amp;"",IF($C77='Auto Responses'!$J$5,VLOOKUP($A77,Questions!$A$2:$X$333,18,0)&amp;"",VLOOKUP($A77,Questions!$A$2:$X$333,15,0)&amp;"")))</f>
        <v>Describe purposes not included in an agreement with the institution.</v>
      </c>
      <c r="F77" s="98" t="str">
        <f>VLOOKUP($A77,'Privacy Analyst Evaluation'!$A$46:$F$120,6,0)&amp;""</f>
        <v/>
      </c>
      <c r="H77" s="7"/>
    </row>
    <row r="78" spans="1:8" s="3" customFormat="1" ht="36" customHeight="1" x14ac:dyDescent="0.15">
      <c r="A78" s="36" t="s">
        <v>401</v>
      </c>
      <c r="B78" s="44" t="str">
        <f>VLOOKUP($A78,Questions!$A$2:$X$333,2,0)</f>
        <v>Do you have a documented list of personal data your service maintains?</v>
      </c>
      <c r="C78" s="45" t="s">
        <v>26</v>
      </c>
      <c r="D78" s="86"/>
      <c r="E78" s="47" t="str">
        <f>IF($C78='Auto Responses'!$J$3,VLOOKUP($A78,Questions!$A$2:$X$333,17,0)&amp;"",IF($C78='Auto Responses'!$J$4,VLOOKUP($A78,Questions!$A$2:$X$333,16,0)&amp;"",IF($C78='Auto Responses'!$J$5,VLOOKUP($A78,Questions!$A$2:$X$333,18,0)&amp;"",VLOOKUP($A78,Questions!$A$2:$X$333,15,0)&amp;"")))</f>
        <v>Explain why not</v>
      </c>
      <c r="F78" s="98" t="str">
        <f>VLOOKUP($A78,'Privacy Analyst Evaluation'!$A$46:$F$120,6,0)&amp;""</f>
        <v/>
      </c>
      <c r="H78" s="7"/>
    </row>
    <row r="79" spans="1:8" s="3" customFormat="1" ht="57.75" customHeight="1" x14ac:dyDescent="0.15">
      <c r="A79" s="36" t="s">
        <v>402</v>
      </c>
      <c r="B79" s="44" t="str">
        <f>VLOOKUP($A79,Questions!$A$2:$X$333,2,0)</f>
        <v>Do you retain personal information for only as long as necessary to fulfill the stated purpose(s) or as required by law or regulation and thereafter appropriately dispose of such information?</v>
      </c>
      <c r="C79" s="45" t="s">
        <v>30</v>
      </c>
      <c r="D79" s="86" t="s">
        <v>403</v>
      </c>
      <c r="E79" s="47" t="str">
        <f>IF($C79='Auto Responses'!$J$3,VLOOKUP($A79,Questions!$A$2:$X$333,17,0)&amp;"",IF($C79='Auto Responses'!$J$4,VLOOKUP($A79,Questions!$A$2:$X$333,16,0)&amp;"",IF($C79='Auto Responses'!$J$5,VLOOKUP($A79,Questions!$A$2:$X$333,18,0)&amp;"",VLOOKUP($A79,Questions!$A$2:$X$333,15,0)&amp;"")))</f>
        <v/>
      </c>
      <c r="F79" s="98" t="str">
        <f>VLOOKUP($A79,'Privacy Analyst Evaluation'!$A$46:$F$120,6,0)&amp;""</f>
        <v/>
      </c>
      <c r="H79" s="7"/>
    </row>
    <row r="80" spans="1:8" s="3" customFormat="1" ht="81" customHeight="1" x14ac:dyDescent="0.15">
      <c r="A80" s="36" t="s">
        <v>404</v>
      </c>
      <c r="B80" s="44" t="str">
        <f>VLOOKUP($A80,Questions!$A$2:$X$333,2,0)</f>
        <v>Do you provide individuals with access to their personal information for review and update (i.e., data subject rights)?</v>
      </c>
      <c r="C80" s="45" t="s">
        <v>30</v>
      </c>
      <c r="D80" s="86" t="s">
        <v>405</v>
      </c>
      <c r="E80" s="47" t="str">
        <f>IF($C80='Auto Responses'!$J$3,VLOOKUP($A80,Questions!$A$2:$X$333,17,0)&amp;"",IF($C80='Auto Responses'!$J$4,VLOOKUP($A80,Questions!$A$2:$X$333,16,0)&amp;"",IF($C80='Auto Responses'!$J$5,VLOOKUP($A80,Questions!$A$2:$X$333,18,0)&amp;"",VLOOKUP($A80,Questions!$A$2:$X$333,15,0)&amp;"")))</f>
        <v>Such processes would include descriptions of request processes individuals can follow to review their information and written processes a data subject may use to ask for changes or corrections to data held about them.</v>
      </c>
      <c r="F80" s="98" t="str">
        <f>VLOOKUP($A80,'Privacy Analyst Evaluation'!$A$46:$F$120,6,0)&amp;""</f>
        <v/>
      </c>
      <c r="H80" s="7"/>
    </row>
    <row r="81" spans="1:8" s="3" customFormat="1" ht="70.5" customHeight="1" x14ac:dyDescent="0.15">
      <c r="A81" s="36" t="s">
        <v>406</v>
      </c>
      <c r="B81" s="44" t="str">
        <f>VLOOKUP($A81,Questions!$A$2:$X$333,2,0)</f>
        <v>Do you disclose personal information to third parties only for the purpose(s) identified in the privacy notice or with the implicit or explicit consent of the individual?</v>
      </c>
      <c r="C81" s="45" t="s">
        <v>30</v>
      </c>
      <c r="D81" s="86" t="s">
        <v>407</v>
      </c>
      <c r="E81" s="47" t="str">
        <f>IF($C81='Auto Responses'!$J$3,VLOOKUP($A81,Questions!$A$2:$X$333,17,0)&amp;"",IF($C81='Auto Responses'!$J$4,VLOOKUP($A81,Questions!$A$2:$X$333,16,0)&amp;"",IF($C81='Auto Responses'!$J$5,VLOOKUP($A81,Questions!$A$2:$X$333,18,0)&amp;"",VLOOKUP($A81,Questions!$A$2:$X$333,15,0)&amp;"")))</f>
        <v/>
      </c>
      <c r="F81" s="98" t="str">
        <f>VLOOKUP($A81,'Privacy Analyst Evaluation'!$A$46:$F$120,6,0)&amp;""</f>
        <v/>
      </c>
      <c r="H81" s="7"/>
    </row>
    <row r="82" spans="1:8" s="3" customFormat="1" ht="40.5" customHeight="1" x14ac:dyDescent="0.15">
      <c r="A82" s="36" t="s">
        <v>408</v>
      </c>
      <c r="B82" s="44" t="str">
        <f>VLOOKUP($A82,Questions!$A$2:$X$333,2,0)</f>
        <v>Do you protect personal information against unauthorized access (both physical and logical)?</v>
      </c>
      <c r="C82" s="45" t="s">
        <v>30</v>
      </c>
      <c r="D82" s="86"/>
      <c r="E82" s="47" t="str">
        <f>IF($C82='Auto Responses'!$J$3,VLOOKUP($A82,Questions!$A$2:$X$333,17,0)&amp;"",IF($C82='Auto Responses'!$J$4,VLOOKUP($A82,Questions!$A$2:$X$333,16,0)&amp;"",IF($C82='Auto Responses'!$J$5,VLOOKUP($A82,Questions!$A$2:$X$333,18,0)&amp;"",VLOOKUP($A82,Questions!$A$2:$X$333,15,0)&amp;"")))</f>
        <v/>
      </c>
      <c r="F82" s="98" t="str">
        <f>VLOOKUP($A82,'Privacy Analyst Evaluation'!$A$46:$F$120,6,0)&amp;""</f>
        <v/>
      </c>
      <c r="H82" s="7"/>
    </row>
    <row r="83" spans="1:8" s="3" customFormat="1" ht="49.5" customHeight="1" x14ac:dyDescent="0.15">
      <c r="A83" s="36" t="s">
        <v>409</v>
      </c>
      <c r="B83" s="44" t="str">
        <f>VLOOKUP($A83,Questions!$A$2:$X$333,2,0)</f>
        <v>Do you maintain accurate, complete, and relevant personal information for the purposes identified in the privacy notice?</v>
      </c>
      <c r="C83" s="45" t="s">
        <v>30</v>
      </c>
      <c r="D83" s="86" t="s">
        <v>410</v>
      </c>
      <c r="E83" s="47" t="str">
        <f>IF($C83='Auto Responses'!$J$3,VLOOKUP($A83,Questions!$A$2:$X$333,17,0)&amp;"",IF($C83='Auto Responses'!$J$4,VLOOKUP($A83,Questions!$A$2:$X$333,16,0)&amp;"",IF($C83='Auto Responses'!$J$5,VLOOKUP($A83,Questions!$A$2:$X$333,18,0)&amp;"",VLOOKUP($A83,Questions!$A$2:$X$333,15,0)&amp;"")))</f>
        <v/>
      </c>
      <c r="F83" s="98" t="str">
        <f>VLOOKUP($A83,'Privacy Analyst Evaluation'!$A$46:$F$120,6,0)&amp;""</f>
        <v/>
      </c>
      <c r="H83" s="7"/>
    </row>
    <row r="84" spans="1:8" s="3" customFormat="1" ht="46.5" customHeight="1" x14ac:dyDescent="0.15">
      <c r="A84" s="36" t="s">
        <v>411</v>
      </c>
      <c r="B84" s="44" t="str">
        <f>VLOOKUP($A84,Questions!$A$2:$X$333,2,0)</f>
        <v>Do you have procedures to address privacy-related noncompliance complaints and disputes?</v>
      </c>
      <c r="C84" s="45" t="s">
        <v>26</v>
      </c>
      <c r="D84" s="86"/>
      <c r="E84" s="47" t="str">
        <f>IF($C84='Auto Responses'!$J$3,VLOOKUP($A84,Questions!$A$2:$X$333,17,0)&amp;"",IF($C84='Auto Responses'!$J$4,VLOOKUP($A84,Questions!$A$2:$X$333,16,0)&amp;"",IF($C84='Auto Responses'!$J$5,VLOOKUP($A84,Questions!$A$2:$X$333,18,0)&amp;"",VLOOKUP($A84,Questions!$A$2:$X$333,15,0)&amp;"")))</f>
        <v/>
      </c>
      <c r="F84" s="98" t="str">
        <f>VLOOKUP($A84,'Privacy Analyst Evaluation'!$A$46:$F$120,6,0)&amp;""</f>
        <v/>
      </c>
      <c r="H84" s="7"/>
    </row>
    <row r="85" spans="1:8" s="3" customFormat="1" ht="45" customHeight="1" x14ac:dyDescent="0.15">
      <c r="A85" s="36" t="s">
        <v>412</v>
      </c>
      <c r="B85" s="44" t="str">
        <f>VLOOKUP($A85,Questions!$A$2:$X$333,2,0)</f>
        <v>Do you "anonymize," "de-identify," or otherwise mask personal data?</v>
      </c>
      <c r="C85" s="45" t="s">
        <v>26</v>
      </c>
      <c r="D85" s="86"/>
      <c r="E85" s="47" t="str">
        <f>IF($C85='Auto Responses'!$J$3,VLOOKUP($A85,Questions!$A$2:$X$333,17,0)&amp;"",IF($C85='Auto Responses'!$J$4,VLOOKUP($A85,Questions!$A$2:$X$333,16,0)&amp;"",IF($C85='Auto Responses'!$J$5,VLOOKUP($A85,Questions!$A$2:$X$333,18,0)&amp;"",VLOOKUP($A85,Questions!$A$2:$X$333,15,0)&amp;"")))</f>
        <v/>
      </c>
      <c r="F85" s="98" t="str">
        <f>VLOOKUP($A85,'Privacy Analyst Evaluation'!$A$46:$F$120,6,0)&amp;""</f>
        <v/>
      </c>
      <c r="H85" s="7"/>
    </row>
    <row r="86" spans="1:8" s="3" customFormat="1" ht="93" customHeight="1" x14ac:dyDescent="0.15">
      <c r="A86" s="36" t="s">
        <v>413</v>
      </c>
      <c r="B86" s="44"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45" t="s">
        <v>26</v>
      </c>
      <c r="D86" s="86"/>
      <c r="E86" s="47" t="str">
        <f>IF($C86='Auto Responses'!$J$3,VLOOKUP($A86,Questions!$A$2:$X$333,17,0)&amp;"",IF($C86='Auto Responses'!$J$4,VLOOKUP($A86,Questions!$A$2:$X$333,16,0)&amp;"",IF($C86='Auto Responses'!$J$5,VLOOKUP($A86,Questions!$A$2:$X$333,18,0)&amp;"",VLOOKUP($A86,Questions!$A$2:$X$333,15,0)&amp;"")))</f>
        <v/>
      </c>
      <c r="F86" s="98" t="str">
        <f>VLOOKUP($A86,'Privacy Analyst Evaluation'!$A$46:$F$120,6,0)&amp;""</f>
        <v/>
      </c>
      <c r="H86" s="7"/>
    </row>
    <row r="87" spans="1:8" s="3" customFormat="1" ht="81" customHeight="1" x14ac:dyDescent="0.15">
      <c r="A87" s="36" t="s">
        <v>414</v>
      </c>
      <c r="B87" s="44" t="str">
        <f>VLOOKUP($A87,Questions!$A$2:$X$333,2,0)</f>
        <v>Do you certify stop-processing requests, including any data that is processed by a third party on your behalf?</v>
      </c>
      <c r="C87" s="45" t="s">
        <v>30</v>
      </c>
      <c r="D87" s="86" t="s">
        <v>415</v>
      </c>
      <c r="E87" s="47" t="str">
        <f>IF($C87='Auto Responses'!$J$3,VLOOKUP($A87,Questions!$A$2:$X$333,17,0)&amp;"",IF($C87='Auto Responses'!$J$4,VLOOKUP($A87,Questions!$A$2:$X$333,16,0)&amp;"",IF($C87='Auto Responses'!$J$5,VLOOKUP($A87,Questions!$A$2:$X$333,18,0)&amp;"",VLOOKUP($A87,Questions!$A$2:$X$333,15,0)&amp;"")))</f>
        <v>Briefly outline relevant processes.</v>
      </c>
      <c r="F87" s="98" t="str">
        <f>VLOOKUP($A87,'Privacy Analyst Evaluation'!$A$46:$F$120,6,0)&amp;""</f>
        <v/>
      </c>
      <c r="H87" s="7"/>
    </row>
    <row r="88" spans="1:8" s="3" customFormat="1" ht="36.75" customHeight="1" x14ac:dyDescent="0.15">
      <c r="A88" s="36" t="s">
        <v>416</v>
      </c>
      <c r="B88" s="44" t="str">
        <f>VLOOKUP($A88,Questions!$A$2:$X$333,2,0)</f>
        <v>Do you have a process to review code for ethical considerations?</v>
      </c>
      <c r="C88" s="45" t="s">
        <v>26</v>
      </c>
      <c r="D88" s="86"/>
      <c r="E88" s="47" t="str">
        <f>IF($C88='Auto Responses'!$J$3,VLOOKUP($A88,Questions!$A$2:$X$333,17,0)&amp;"",IF($C88='Auto Responses'!$J$4,VLOOKUP($A88,Questions!$A$2:$X$333,16,0)&amp;"",VLOOKUP($A88,Questions!$A$2:$X$333,15,0)&amp;""))</f>
        <v/>
      </c>
      <c r="F88" s="98" t="str">
        <f>VLOOKUP($A88,'Privacy Analyst Evaluation'!$A$46:$F$120,6,0)&amp;""</f>
        <v/>
      </c>
      <c r="G88" s="62" t="s">
        <v>35</v>
      </c>
      <c r="H88" s="7"/>
    </row>
    <row r="89" spans="1:8" s="3" customFormat="1" ht="36.75" customHeight="1" x14ac:dyDescent="0.15">
      <c r="A89" s="32" t="str">
        <f>VLOOKUP(LEFT($A90,4),'Auto Responses'!$N$4:$O$38,2,0)&amp;""</f>
        <v xml:space="preserve"> Privacy and AI</v>
      </c>
      <c r="B89" s="41"/>
      <c r="C89" s="20" t="s">
        <v>21</v>
      </c>
      <c r="D89" s="20" t="s">
        <v>22</v>
      </c>
      <c r="E89" s="42" t="s">
        <v>23</v>
      </c>
      <c r="F89" s="89" t="s">
        <v>24</v>
      </c>
      <c r="H89" s="7"/>
    </row>
    <row r="90" spans="1:8" s="3" customFormat="1" ht="15" customHeight="1" x14ac:dyDescent="0.15">
      <c r="A90" s="36" t="s">
        <v>417</v>
      </c>
      <c r="B90" s="44" t="str">
        <f>VLOOKUP($A90,Questions!$A$2:$X$333,2,0)</f>
        <v>Does your service use AI for the processing of institutional data?</v>
      </c>
      <c r="C90" s="45" t="s">
        <v>75</v>
      </c>
      <c r="D90" s="86"/>
      <c r="E90" s="47" t="str">
        <f>IF($C$19='Auto Responses'!$J$4,'Auto Responses'!$A$6,IF($C90='Auto Responses'!$J$3,VLOOKUP($A90,Questions!$A$2:$X$333,17,0)&amp;"",IF($C90='Auto Responses'!$J$4,VLOOKUP($A90,Questions!$A$2:$X$333,16,0)&amp;"",IF($C90='Auto Responses'!$J$5,VLOOKUP($A90,Questions!$A$2:$X$333,18,0)&amp;"",VLOOKUP($A90,Questions!$A$2:$X$333,15,0)&amp;""))))</f>
        <v>Based on the response to REQU-04 on the "START HERE" tab, this question does not apply to this product or service.</v>
      </c>
      <c r="F90" s="98" t="str">
        <f>VLOOKUP($A90,'Privacy Analyst Evaluation'!$A$46:$F$120,6,0)&amp;""</f>
        <v/>
      </c>
      <c r="H90" s="7"/>
    </row>
    <row r="91" spans="1:8" s="3" customFormat="1" ht="15" customHeight="1" x14ac:dyDescent="0.15">
      <c r="A91" s="36" t="s">
        <v>418</v>
      </c>
      <c r="B91" s="44" t="str">
        <f>VLOOKUP($A91,Questions!$A$2:$X$333,2,0)</f>
        <v>Is any institutional data retained in AI processing?*</v>
      </c>
      <c r="C91" s="45" t="s">
        <v>75</v>
      </c>
      <c r="D91" s="86"/>
      <c r="E91" s="47" t="str">
        <f>IF($C$19='Auto Responses'!$J$4,'Auto Responses'!$A$6,IF($C91='Auto Responses'!$J$3,VLOOKUP($A91,Questions!$A$2:$X$333,17,0)&amp;"",IF($C91='Auto Responses'!$J$4,VLOOKUP($A91,Questions!$A$2:$X$333,16,0)&amp;"",IF($C91='Auto Responses'!$J$5,VLOOKUP($A91,Questions!$A$2:$X$333,18,0)&amp;"",VLOOKUP($A91,Questions!$A$2:$X$333,15,0)&amp;""))))</f>
        <v>Based on the response to REQU-04 on the "START HERE" tab, this question does not apply to this product or service.</v>
      </c>
      <c r="F91" s="98" t="str">
        <f>VLOOKUP($A91,'Privacy Analyst Evaluation'!$A$46:$F$120,6,0)&amp;""</f>
        <v/>
      </c>
      <c r="H91" s="7"/>
    </row>
    <row r="92" spans="1:8" s="3" customFormat="1" ht="55.5" customHeight="1" x14ac:dyDescent="0.15">
      <c r="A92" s="36" t="s">
        <v>419</v>
      </c>
      <c r="B92" s="44" t="str">
        <f>VLOOKUP($A92,Questions!$A$2:$X$333,2,0)</f>
        <v>Do you have agreements in place with third parties or subprocessors regarding the protection of customer data and use of AI?*</v>
      </c>
      <c r="C92" s="45" t="s">
        <v>75</v>
      </c>
      <c r="D92" s="86"/>
      <c r="E92" s="47" t="str">
        <f>IF($C$19='Auto Responses'!$J$4,'Auto Responses'!$A$6,IF($C92='Auto Responses'!$J$3,VLOOKUP($A92,Questions!$A$2:$X$333,17,0)&amp;"",IF($C92='Auto Responses'!$J$4,VLOOKUP($A92,Questions!$A$2:$X$333,16,0)&amp;"",IF($C92='Auto Responses'!$J$5,VLOOKUP($A92,Questions!$A$2:$X$333,18,0)&amp;"",VLOOKUP($A92,Questions!$A$2:$X$333,15,0)&amp;""))))</f>
        <v>Based on the response to REQU-04 on the "START HERE" tab, this question does not apply to this product or service.</v>
      </c>
      <c r="F92" s="98" t="str">
        <f>VLOOKUP($A92,'Privacy Analyst Evaluation'!$A$46:$F$120,6,0)&amp;""</f>
        <v/>
      </c>
      <c r="H92" s="7"/>
    </row>
    <row r="93" spans="1:8" s="3" customFormat="1" ht="32.25" customHeight="1" x14ac:dyDescent="0.15">
      <c r="A93" s="36" t="s">
        <v>420</v>
      </c>
      <c r="B93" s="44" t="str">
        <f>VLOOKUP($A93,Questions!$A$2:$X$333,2,0)</f>
        <v>Will institutional data be processed through a third party or subprocessor that also uses AI?</v>
      </c>
      <c r="C93" s="45" t="s">
        <v>75</v>
      </c>
      <c r="D93" s="86"/>
      <c r="E93" s="47" t="str">
        <f>IF($C$19='Auto Responses'!$J$4,'Auto Responses'!$A$6,IF($C93='Auto Responses'!$J$3,VLOOKUP($A93,Questions!$A$2:$X$333,17,0)&amp;"",IF($C93='Auto Responses'!$J$4,VLOOKUP($A93,Questions!$A$2:$X$333,16,0)&amp;"",IF($C93='Auto Responses'!$J$5,VLOOKUP($A93,Questions!$A$2:$X$333,18,0)&amp;"",VLOOKUP($A93,Questions!$A$2:$X$333,15,0)&amp;""))))</f>
        <v>Based on the response to REQU-04 on the "START HERE" tab, this question does not apply to this product or service.</v>
      </c>
      <c r="F93" s="98" t="str">
        <f>VLOOKUP($A93,'Privacy Analyst Evaluation'!$A$46:$F$120,6,0)&amp;""</f>
        <v/>
      </c>
      <c r="H93" s="7"/>
    </row>
    <row r="94" spans="1:8" s="3" customFormat="1" ht="32.25" customHeight="1" x14ac:dyDescent="0.15">
      <c r="A94" s="36" t="s">
        <v>421</v>
      </c>
      <c r="B94" s="44" t="str">
        <f>VLOOKUP($A94,Questions!$A$2:$X$333,2,0)</f>
        <v>Is AI processing limited to fully licensed commercial enterprise AI services?</v>
      </c>
      <c r="C94" s="45" t="s">
        <v>75</v>
      </c>
      <c r="D94" s="86"/>
      <c r="E94" s="47" t="str">
        <f>IF($C$19='Auto Responses'!$J$4,'Auto Responses'!$A$6,IF($C94='Auto Responses'!$J$3,VLOOKUP($A94,Questions!$A$2:$X$333,17,0)&amp;"",IF($C94='Auto Responses'!$J$4,VLOOKUP($A94,Questions!$A$2:$X$333,16,0)&amp;"",IF($C94='Auto Responses'!$J$5,VLOOKUP($A94,Questions!$A$2:$X$333,18,0)&amp;"",VLOOKUP($A94,Questions!$A$2:$X$333,15,0)&amp;""))))</f>
        <v>Based on the response to REQU-04 on the "START HERE" tab, this question does not apply to this product or service.</v>
      </c>
      <c r="F94" s="98" t="str">
        <f>VLOOKUP($A94,'Privacy Analyst Evaluation'!$A$46:$F$120,6,0)&amp;""</f>
        <v/>
      </c>
      <c r="H94" s="7"/>
    </row>
    <row r="95" spans="1:8" s="3" customFormat="1" ht="81" customHeight="1" x14ac:dyDescent="0.15">
      <c r="A95" s="36" t="s">
        <v>422</v>
      </c>
      <c r="B95" s="44" t="str">
        <f>VLOOKUP($A95,Questions!$A$2:$X$333,2,0)</f>
        <v>Will institutional data be used or processed by any shared AI services?</v>
      </c>
      <c r="C95" s="45" t="s">
        <v>75</v>
      </c>
      <c r="D95" s="86"/>
      <c r="E95" s="47" t="str">
        <f>IF($C$19='Auto Responses'!$J$4,'Auto Responses'!$A$6,IF($C95='Auto Responses'!$J$3,VLOOKUP($A95,Questions!$A$2:$X$333,17,0)&amp;"",IF($C95='Auto Responses'!$J$4,VLOOKUP($A95,Questions!$A$2:$X$333,16,0)&amp;"",IF($C95='Auto Responses'!$J$5,VLOOKUP($A95,Questions!$A$2:$X$333,18,0)&amp;"",VLOOKUP($A95,Questions!$A$2:$X$333,15,0)&amp;""))))</f>
        <v>Based on the response to REQU-04 on the "START HERE" tab, this question does not apply to this product or service.</v>
      </c>
      <c r="F95" s="98" t="str">
        <f>VLOOKUP($A95,'Privacy Analyst Evaluation'!$A$46:$F$120,6,0)&amp;""</f>
        <v/>
      </c>
      <c r="H95" s="7"/>
    </row>
    <row r="96" spans="1:8" s="3" customFormat="1" ht="32.25" customHeight="1" x14ac:dyDescent="0.15">
      <c r="A96" s="36" t="s">
        <v>423</v>
      </c>
      <c r="B96" s="44" t="str">
        <f>VLOOKUP($A96,Questions!$A$2:$X$333,2,0)</f>
        <v>Do you have safeguards in place to protect institutional data and data privacy from unintended AI queries or processing?</v>
      </c>
      <c r="C96" s="45" t="s">
        <v>75</v>
      </c>
      <c r="D96" s="86"/>
      <c r="E96" s="47" t="str">
        <f>IF($C$19='Auto Responses'!$J$4,'Auto Responses'!$A$6,IF($C96='Auto Responses'!$J$3,VLOOKUP($A96,Questions!$A$2:$X$333,17,0)&amp;"",IF($C96='Auto Responses'!$J$4,VLOOKUP($A96,Questions!$A$2:$X$333,16,0)&amp;"",IF($C96='Auto Responses'!$J$5,VLOOKUP($A96,Questions!$A$2:$X$333,18,0)&amp;"",VLOOKUP($A96,Questions!$A$2:$X$333,15,0)&amp;""))))</f>
        <v>Based on the response to REQU-04 on the "START HERE" tab, this question does not apply to this product or service.</v>
      </c>
      <c r="F96" s="98" t="str">
        <f>VLOOKUP($A96,'Privacy Analyst Evaluation'!$A$46:$F$120,6,0)&amp;""</f>
        <v/>
      </c>
      <c r="H96" s="7"/>
    </row>
    <row r="97" spans="1:11" s="3" customFormat="1" ht="55.5" customHeight="1" x14ac:dyDescent="0.15">
      <c r="A97" s="36" t="s">
        <v>424</v>
      </c>
      <c r="B97" s="44" t="str">
        <f>VLOOKUP($A97,Questions!$A$2:$X$333,2,0)</f>
        <v>Do you provide choice to the user to opt out of AI use?</v>
      </c>
      <c r="C97" s="45" t="s">
        <v>75</v>
      </c>
      <c r="D97" s="86"/>
      <c r="E97" s="47" t="str">
        <f>IF($C$19='Auto Responses'!$J$4,'Auto Responses'!$A$6,IF($C97='Auto Responses'!$J$3,VLOOKUP($A97,Questions!$A$2:$X$333,17,0)&amp;"",IF($C97='Auto Responses'!$J$4,VLOOKUP($A97,Questions!$A$2:$X$333,16,0)&amp;"",IF($C97='Auto Responses'!$J$5,VLOOKUP($A97,Questions!$A$2:$X$333,18,0)&amp;"",VLOOKUP($A97,Questions!$A$2:$X$333,15,0)&amp;""))))</f>
        <v>Based on the response to REQU-04 on the "START HERE" tab, this question does not apply to this product or service.</v>
      </c>
      <c r="F97" s="98" t="str">
        <f>VLOOKUP($A97,'Privacy Analyst Evaluation'!$A$46:$F$120,6,0)&amp;""</f>
        <v/>
      </c>
      <c r="G97" s="62" t="s">
        <v>35</v>
      </c>
      <c r="H97" s="7"/>
    </row>
    <row r="98" spans="1:11" s="3" customFormat="1" ht="44.25" customHeight="1" x14ac:dyDescent="0.15">
      <c r="A98" s="63" t="s">
        <v>53</v>
      </c>
      <c r="C98" s="4"/>
      <c r="D98" s="5"/>
      <c r="E98" s="91"/>
      <c r="F98" s="92"/>
      <c r="H98" s="7"/>
    </row>
    <row r="99" spans="1:11" s="3" customFormat="1" ht="15" hidden="1" customHeight="1" x14ac:dyDescent="0.15">
      <c r="A99"/>
      <c r="C99" s="4"/>
      <c r="D99" s="5"/>
      <c r="E99" s="91"/>
      <c r="F99" s="92"/>
      <c r="H99" s="7"/>
    </row>
    <row r="100" spans="1:11" ht="15" hidden="1" customHeight="1" x14ac:dyDescent="0.2">
      <c r="A100" s="3"/>
      <c r="B100" s="4"/>
      <c r="C100" s="77"/>
      <c r="D100" s="6"/>
      <c r="E100" s="63"/>
      <c r="G100" s="7"/>
      <c r="H100" s="3"/>
      <c r="K100"/>
    </row>
    <row r="101" spans="1:11" hidden="1" x14ac:dyDescent="0.2">
      <c r="A101" s="36" t="e">
        <f>#REF!</f>
        <v>#REF!</v>
      </c>
    </row>
    <row r="102" spans="1:11" s="3" customFormat="1" ht="14" hidden="1" x14ac:dyDescent="0.15">
      <c r="A102" s="36" t="e">
        <f>#REF!</f>
        <v>#REF!</v>
      </c>
      <c r="C102" s="4"/>
      <c r="D102" s="5"/>
      <c r="E102" s="91"/>
      <c r="F102" s="92"/>
      <c r="H102" s="7"/>
    </row>
    <row r="103" spans="1:11" s="3" customFormat="1" ht="14" hidden="1" x14ac:dyDescent="0.15">
      <c r="A103" s="36" t="e">
        <f>#REF!</f>
        <v>#REF!</v>
      </c>
      <c r="C103" s="4"/>
      <c r="D103" s="5"/>
      <c r="E103" s="91"/>
      <c r="F103" s="92"/>
      <c r="H103" s="7"/>
    </row>
    <row r="104" spans="1:11" s="3" customFormat="1" ht="14" hidden="1" x14ac:dyDescent="0.15">
      <c r="A104" s="36" t="e">
        <f>#REF!</f>
        <v>#REF!</v>
      </c>
      <c r="C104" s="4"/>
      <c r="D104" s="5"/>
      <c r="E104" s="91"/>
      <c r="F104" s="92"/>
      <c r="H104" s="7"/>
    </row>
    <row r="105" spans="1:11" s="3" customFormat="1" ht="14" hidden="1" x14ac:dyDescent="0.15">
      <c r="A105" s="36" t="e">
        <f>#REF!</f>
        <v>#REF!</v>
      </c>
      <c r="C105" s="4"/>
      <c r="D105" s="5"/>
      <c r="E105" s="91"/>
      <c r="F105" s="92"/>
      <c r="H105" s="7"/>
    </row>
    <row r="106" spans="1:11" s="3" customFormat="1" ht="14" hidden="1" x14ac:dyDescent="0.15">
      <c r="A106" s="36" t="e">
        <f>#REF!</f>
        <v>#REF!</v>
      </c>
      <c r="C106" s="4"/>
      <c r="D106" s="5"/>
      <c r="E106" s="91"/>
      <c r="F106" s="92"/>
      <c r="H106" s="7"/>
    </row>
    <row r="107" spans="1:11" s="3" customFormat="1" ht="14" hidden="1" x14ac:dyDescent="0.15">
      <c r="A107" s="36" t="e">
        <f>#REF!</f>
        <v>#REF!</v>
      </c>
      <c r="C107" s="4"/>
      <c r="D107" s="5"/>
      <c r="E107" s="91"/>
      <c r="F107" s="92"/>
      <c r="H107" s="7"/>
    </row>
    <row r="108" spans="1:11" s="3" customFormat="1" hidden="1" x14ac:dyDescent="0.15">
      <c r="A108"/>
      <c r="C108" s="4"/>
      <c r="D108" s="5"/>
      <c r="E108" s="91"/>
      <c r="F108" s="92"/>
      <c r="H108" s="7"/>
    </row>
    <row r="109" spans="1:11" s="3" customFormat="1" hidden="1" x14ac:dyDescent="0.15">
      <c r="A109"/>
      <c r="C109" s="4"/>
      <c r="D109" s="5"/>
      <c r="E109" s="91"/>
      <c r="F109" s="92"/>
      <c r="H109" s="7"/>
    </row>
    <row r="110" spans="1:11" s="3" customFormat="1" hidden="1" x14ac:dyDescent="0.15">
      <c r="A110"/>
      <c r="C110" s="4"/>
      <c r="D110" s="5"/>
      <c r="E110" s="91"/>
      <c r="F110" s="92"/>
      <c r="H110" s="7"/>
    </row>
    <row r="111" spans="1:11" s="3" customFormat="1" hidden="1" x14ac:dyDescent="0.15">
      <c r="A111"/>
      <c r="C111" s="4"/>
      <c r="D111" s="5"/>
      <c r="E111" s="91"/>
      <c r="F111" s="92"/>
      <c r="H111" s="7"/>
    </row>
    <row r="112" spans="1:11" s="3" customFormat="1" hidden="1" x14ac:dyDescent="0.15">
      <c r="A112"/>
      <c r="C112" s="4"/>
      <c r="D112" s="5"/>
      <c r="E112" s="91"/>
      <c r="F112" s="92"/>
      <c r="H112" s="7"/>
    </row>
    <row r="113" spans="1:8" s="3" customFormat="1" hidden="1" x14ac:dyDescent="0.15">
      <c r="A113"/>
      <c r="C113" s="4"/>
      <c r="D113" s="5"/>
      <c r="E113" s="91"/>
      <c r="F113" s="92"/>
      <c r="H113" s="7"/>
    </row>
    <row r="114" spans="1:8" s="3" customFormat="1" hidden="1" x14ac:dyDescent="0.15">
      <c r="A114"/>
      <c r="C114" s="4"/>
      <c r="D114" s="5"/>
      <c r="E114" s="91"/>
      <c r="F114" s="92"/>
      <c r="H114" s="7"/>
    </row>
    <row r="115" spans="1:8" s="3" customFormat="1" hidden="1" x14ac:dyDescent="0.15">
      <c r="A115"/>
      <c r="C115" s="4"/>
      <c r="D115" s="5"/>
      <c r="E115" s="91"/>
      <c r="F115" s="92"/>
      <c r="H115" s="7"/>
    </row>
    <row r="116" spans="1:8" s="3" customFormat="1" hidden="1" x14ac:dyDescent="0.15">
      <c r="A116"/>
      <c r="C116" s="4"/>
      <c r="D116" s="5"/>
      <c r="E116" s="91"/>
      <c r="F116" s="92"/>
      <c r="H116" s="7"/>
    </row>
    <row r="117" spans="1:8" s="3" customFormat="1" hidden="1" x14ac:dyDescent="0.15">
      <c r="A117"/>
      <c r="C117" s="4"/>
      <c r="D117" s="5"/>
      <c r="E117" s="91"/>
      <c r="F117" s="92"/>
      <c r="H117" s="7"/>
    </row>
  </sheetData>
  <dataValidations count="3">
    <dataValidation allowBlank="1" showInputMessage="1" showErrorMessage="1" promptTitle="Warning!" prompt="The HECVAT is built using a number of complex formulas. Editing this cell can break the functionality of the tool. " sqref="B2:F2 A3:B98 D3:F3 C4:F12 C18:F18 E19:F22 C23:F23 E24:F28 C29:F29 E30:F33 C34:F34 E35:F37 C38:F38 E39:F40 C41:F41 E42:F43 C44:F44 E45:F52 C53:F53 E54:F66 C67:F67 E68:F72 C73:F73 E74:F88 C89:F89 E90:F98" xr:uid="{00000000-0002-0000-0700-000000000000}">
      <formula1>0</formula1>
      <formula2>0</formula2>
    </dataValidation>
    <dataValidation allowBlank="1" showInputMessage="1" showErrorMessage="1" prompt="This cell should be left blank. Input your answer in column C." sqref="D28 C31" xr:uid="{00000000-0002-0000-0700-000001000000}">
      <formula1>0</formula1>
      <formula2>0</formula2>
    </dataValidation>
    <dataValidation allowBlank="1" showInputMessage="1" showErrorMessage="1" prompt="This answer has been populated from the &quot;START HERE&quot; tab and does not need to be re-entered." sqref="C3 C13:C17 C19:C22" xr:uid="{00000000-0002-0000-0700-000002000000}">
      <formula1>0</formula1>
      <formula2>0</formula2>
    </dataValidation>
  </dataValidations>
  <hyperlinks>
    <hyperlink ref="A11" r:id="rId1" display="http://www.educause.edu/HECVAT" xr:uid="{00000000-0004-0000-0700-000000000000}"/>
    <hyperlink ref="C28" r:id="rId2" xr:uid="{00000000-0004-0000-0700-000001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0B233"/>
  </sheetPr>
  <dimension ref="A1:N363"/>
  <sheetViews>
    <sheetView showGridLines="0" topLeftCell="A2" workbookViewId="0"/>
  </sheetViews>
  <sheetFormatPr baseColWidth="10" defaultColWidth="0" defaultRowHeight="16" x14ac:dyDescent="0.2"/>
  <cols>
    <col min="1" max="1" width="18.75" style="100" customWidth="1"/>
    <col min="2" max="2" width="57.625" style="100" customWidth="1"/>
    <col min="3" max="10" width="19.625" style="100" customWidth="1"/>
    <col min="11" max="11" width="17.125" style="100" customWidth="1"/>
    <col min="12" max="12" width="8.5" style="100"/>
    <col min="13" max="13" width="8.375" style="100" hidden="1" customWidth="1"/>
    <col min="14" max="16384" width="8.5" style="100" hidden="1"/>
  </cols>
  <sheetData>
    <row r="1" spans="1:10" ht="85" hidden="1" x14ac:dyDescent="0.2">
      <c r="A1" s="100" t="s">
        <v>425</v>
      </c>
    </row>
    <row r="2" spans="1:10" ht="36" customHeight="1" x14ac:dyDescent="0.2">
      <c r="A2" s="101" t="s">
        <v>426</v>
      </c>
      <c r="B2" s="102"/>
      <c r="C2" s="102"/>
      <c r="D2" s="102"/>
      <c r="E2" s="102"/>
      <c r="F2" s="102"/>
      <c r="G2" s="102"/>
      <c r="H2" s="102"/>
      <c r="I2" s="103" t="str">
        <f>'Auto Responses'!$A$36</f>
        <v>Version 4.1.6</v>
      </c>
      <c r="J2" s="104"/>
    </row>
    <row r="3" spans="1:10" ht="25.5" customHeight="1" x14ac:dyDescent="0.2">
      <c r="A3" s="105"/>
      <c r="B3" s="105"/>
      <c r="C3" s="105"/>
      <c r="D3" s="105"/>
      <c r="E3" s="105"/>
      <c r="F3" s="105"/>
      <c r="G3" s="105"/>
      <c r="H3" s="105"/>
      <c r="I3" s="105"/>
      <c r="J3" s="105"/>
    </row>
    <row r="4" spans="1:10" ht="36" customHeight="1" x14ac:dyDescent="0.2">
      <c r="A4" s="106" t="s">
        <v>427</v>
      </c>
      <c r="B4" s="107"/>
      <c r="C4" s="107"/>
      <c r="D4" s="107"/>
      <c r="E4" s="107"/>
      <c r="F4" s="107"/>
      <c r="G4" s="107"/>
      <c r="H4" s="107"/>
      <c r="I4" s="107"/>
      <c r="J4" s="107"/>
    </row>
    <row r="5" spans="1:10" s="109" customFormat="1" ht="19.5" customHeight="1" x14ac:dyDescent="0.2">
      <c r="A5" s="108" t="str">
        <f>HLOOKUP($A$4,'Auto Responses'!$F$2:$F$7,2,0)&amp;""</f>
        <v>1. Upon initial review, you can check the "Non-Negotiable" box by any question to compile a report of questions that may prohibit a full review.</v>
      </c>
      <c r="B5" s="108"/>
      <c r="C5" s="108"/>
      <c r="D5" s="108"/>
      <c r="E5" s="108"/>
      <c r="F5" s="108"/>
      <c r="G5" s="108"/>
      <c r="H5" s="108"/>
      <c r="I5" s="108"/>
      <c r="J5" s="108"/>
    </row>
    <row r="6" spans="1:10" s="109" customFormat="1" ht="19.5" customHeight="1" x14ac:dyDescent="0.2">
      <c r="A6" s="108" t="str">
        <f>HLOOKUP($A$4,'Auto Responses'!$F$2:$F$7,3,0)&amp;""</f>
        <v>2. When evaluating an answer, a default importance level has been set. You can use the "Importance Override" dropdown to override the default and adjust the value of the question.</v>
      </c>
      <c r="B6" s="108"/>
      <c r="C6" s="108"/>
      <c r="D6" s="108"/>
      <c r="E6" s="108"/>
      <c r="F6" s="108"/>
      <c r="G6" s="108"/>
      <c r="H6" s="108"/>
      <c r="I6" s="108"/>
      <c r="J6" s="108"/>
    </row>
    <row r="7" spans="1:10" s="109" customFormat="1" ht="19.5" customHeight="1" x14ac:dyDescent="0.2">
      <c r="A7" s="108" t="str">
        <f>HLOOKUP($A$4,'Auto Responses'!$F$2:$F$7,4,0)&amp;""</f>
        <v>3. For questions that are qualitative or for which you disagree with the preferred response, make a selection in the "Compliant Override" dropdown to adjust the question's impact on the score.</v>
      </c>
      <c r="B7" s="108"/>
      <c r="C7" s="108"/>
      <c r="D7" s="108"/>
      <c r="E7" s="108"/>
      <c r="F7" s="108"/>
      <c r="G7" s="108"/>
      <c r="H7" s="108"/>
      <c r="I7" s="108"/>
      <c r="J7" s="108"/>
    </row>
    <row r="8" spans="1:10" s="109" customFormat="1" ht="19.5" customHeight="1" x14ac:dyDescent="0.2">
      <c r="A8" s="108" t="str">
        <f>HLOOKUP($A$4,'Auto Responses'!$F$2:$F$7,5,0)&amp;""</f>
        <v xml:space="preserve">4. Each worksheet shows a report for that section. See the "Analyst Report" sheet for a full report of all sections. </v>
      </c>
      <c r="B8" s="108"/>
      <c r="C8" s="108"/>
      <c r="D8" s="108"/>
      <c r="E8" s="108"/>
      <c r="F8" s="108"/>
      <c r="G8" s="108"/>
      <c r="H8" s="108"/>
      <c r="I8" s="108"/>
      <c r="J8" s="108"/>
    </row>
    <row r="9" spans="1:10" s="109" customFormat="1" ht="19.5" customHeight="1" x14ac:dyDescent="0.2">
      <c r="A9" s="108" t="str">
        <f>HLOOKUP($A$4,'Auto Responses'!$F$2:$F$7,6,0)&amp;""</f>
        <v xml:space="preserve">5. If you are evaluating a question that appears in an earlier section, the Importance and Compliant Override cannot be changed but additional notes can be added. </v>
      </c>
      <c r="B9" s="108"/>
      <c r="C9" s="108"/>
      <c r="D9" s="108"/>
      <c r="E9" s="108"/>
      <c r="F9" s="108"/>
      <c r="G9" s="108"/>
      <c r="H9" s="108"/>
      <c r="I9" s="108"/>
      <c r="J9" s="108"/>
    </row>
    <row r="10" spans="1:10" ht="19.5" customHeight="1" x14ac:dyDescent="0.2">
      <c r="A10" s="110" t="str">
        <f>HLOOKUP($A$4,'Auto Responses'!$F$2:$F$8,7,0)&amp;""</f>
        <v>For full instructions, please visit EDUCAUSE.edu/HECVAT</v>
      </c>
      <c r="B10" s="111"/>
      <c r="C10" s="111"/>
      <c r="D10" s="111"/>
      <c r="E10" s="111"/>
      <c r="F10" s="111"/>
      <c r="G10" s="111"/>
      <c r="H10" s="111"/>
      <c r="I10" s="111"/>
      <c r="J10" s="111"/>
    </row>
    <row r="11" spans="1:10" s="120" customFormat="1" ht="25.5" customHeight="1" x14ac:dyDescent="0.2">
      <c r="A11" s="112" t="str">
        <f>'START HERE'!$B$13</f>
        <v>Solution Provider Name</v>
      </c>
      <c r="B11" s="113"/>
      <c r="C11" s="114" t="str">
        <f>VLOOKUP($A11,'START HERE'!$B$13:$C$21,2,0)&amp;""</f>
        <v>SmartPLS GmbH</v>
      </c>
      <c r="D11" s="115"/>
      <c r="E11" s="116"/>
      <c r="F11" s="117"/>
      <c r="G11" s="118"/>
      <c r="H11" s="119"/>
      <c r="I11" s="118"/>
      <c r="J11" s="118"/>
    </row>
    <row r="12" spans="1:10" s="120" customFormat="1" ht="25.5" customHeight="1" x14ac:dyDescent="0.2">
      <c r="A12" s="121" t="str">
        <f>'START HERE'!$B$16</f>
        <v>Solution Provider Contact Name</v>
      </c>
      <c r="B12" s="122"/>
      <c r="C12" s="123" t="str">
        <f>VLOOKUP($A12,'START HERE'!$B$13:$C$21,2,0)&amp;""</f>
        <v>Sven Wende</v>
      </c>
      <c r="D12" s="124"/>
      <c r="E12" s="125"/>
      <c r="F12" s="117"/>
      <c r="G12" s="118"/>
      <c r="H12" s="119"/>
      <c r="I12" s="118"/>
      <c r="J12" s="118"/>
    </row>
    <row r="13" spans="1:10" s="120" customFormat="1" ht="25.5" customHeight="1" x14ac:dyDescent="0.2">
      <c r="A13" s="121" t="str">
        <f>'START HERE'!$B$17</f>
        <v>Solution Provider Contact Title</v>
      </c>
      <c r="B13" s="122"/>
      <c r="C13" s="123" t="str">
        <f>VLOOKUP($A13,'START HERE'!$B$13:$C$21,2,0)&amp;""</f>
        <v>Co-Founder &amp; Managing Director</v>
      </c>
      <c r="D13" s="124"/>
      <c r="E13" s="125"/>
      <c r="F13" s="117"/>
      <c r="G13" s="118"/>
      <c r="H13" s="119"/>
      <c r="I13" s="118"/>
      <c r="J13" s="118"/>
    </row>
    <row r="14" spans="1:10" s="120" customFormat="1" ht="25.5" customHeight="1" x14ac:dyDescent="0.2">
      <c r="A14" s="121" t="str">
        <f>'START HERE'!$B$18</f>
        <v>Solution Provider Contact Email</v>
      </c>
      <c r="B14" s="122"/>
      <c r="C14" s="123" t="str">
        <f>VLOOKUP($A14,'START HERE'!$B$13:$C$21,2,0)&amp;""</f>
        <v>s.wende@smartpls.gmbh</v>
      </c>
      <c r="D14" s="124"/>
      <c r="E14" s="125"/>
      <c r="F14" s="126"/>
    </row>
    <row r="15" spans="1:10" s="120" customFormat="1" ht="25.5" customHeight="1" x14ac:dyDescent="0.2">
      <c r="A15" s="121" t="str">
        <f>'START HERE'!$B$14</f>
        <v>Solution Name</v>
      </c>
      <c r="B15" s="122"/>
      <c r="C15" s="123" t="str">
        <f>VLOOKUP($A15,'START HERE'!$B$13:$C$21,2,0)&amp;""</f>
        <v>SmartPLS 4.1.1.9 (SmartPLS Desktop)</v>
      </c>
      <c r="D15" s="124"/>
      <c r="E15" s="125"/>
      <c r="F15" s="126"/>
    </row>
    <row r="16" spans="1:10" s="120" customFormat="1" ht="25.5" customHeight="1" x14ac:dyDescent="0.2">
      <c r="A16" s="121" t="str">
        <f>'START HERE'!$B$15</f>
        <v>Solution Description</v>
      </c>
      <c r="B16" s="122"/>
      <c r="C16" s="123" t="str">
        <f>VLOOKUP($A16,'START HERE'!$B$13:$C$21,2,0)&amp;""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6" s="124"/>
      <c r="E16" s="125"/>
      <c r="F16" s="126"/>
    </row>
    <row r="17" spans="1:11" s="120" customFormat="1" ht="25.5" customHeight="1" x14ac:dyDescent="0.2">
      <c r="A17" s="127" t="s">
        <v>428</v>
      </c>
      <c r="B17" s="128"/>
      <c r="C17" s="129">
        <f>'START HERE'!$C$3</f>
        <v>0</v>
      </c>
      <c r="D17" s="130"/>
      <c r="E17" s="131"/>
      <c r="F17" s="126"/>
    </row>
    <row r="18" spans="1:11" s="120" customFormat="1" ht="24.75" customHeight="1" x14ac:dyDescent="0.2">
      <c r="A18" s="118"/>
      <c r="B18" s="118"/>
      <c r="C18" s="132"/>
      <c r="D18" s="133"/>
      <c r="E18" s="118"/>
      <c r="F18" s="118"/>
      <c r="G18" s="118"/>
      <c r="H18" s="119"/>
      <c r="I18" s="119"/>
      <c r="J18" s="119"/>
    </row>
    <row r="19" spans="1:11" s="134" customFormat="1" ht="24" customHeight="1" x14ac:dyDescent="0.2">
      <c r="A19" s="321"/>
      <c r="B19" s="321"/>
      <c r="C19" s="321"/>
      <c r="D19" s="1"/>
    </row>
    <row r="20" spans="1:11" ht="30" customHeight="1" x14ac:dyDescent="0.2">
      <c r="A20" s="135" t="s">
        <v>429</v>
      </c>
      <c r="B20" s="136" t="s">
        <v>430</v>
      </c>
      <c r="C20" s="137" t="s">
        <v>431</v>
      </c>
      <c r="D20" s="138" t="s">
        <v>432</v>
      </c>
      <c r="E20" s="139" t="s">
        <v>433</v>
      </c>
      <c r="F20" s="139" t="s">
        <v>434</v>
      </c>
      <c r="G20" s="140" t="s">
        <v>435</v>
      </c>
      <c r="H20" s="141"/>
      <c r="I20" s="142"/>
    </row>
    <row r="21" spans="1:11" s="143" customFormat="1" ht="40.5" customHeight="1" x14ac:dyDescent="0.2">
      <c r="B21" s="144" t="str">
        <f>VLOOKUP($K21,'Auto Responses'!$N$4:$O$38,2,0)&amp;""</f>
        <v xml:space="preserve"> Company Information</v>
      </c>
      <c r="C21" s="145" t="b">
        <f>TRUE()</f>
        <v>1</v>
      </c>
      <c r="D21" s="146">
        <f>IF($C21=TRUE(),SUMIF('(backend scoring)'!$B$3:$B$333,$K21,'(backend scoring)'!$O$3:$O$333),"")</f>
        <v>20</v>
      </c>
      <c r="E21" s="147">
        <f>IF($C21=TRUE(),SUMIF('(backend scoring)'!$B$3:$B$333,$K21,'(backend scoring)'!$P$3:$P$333),"")</f>
        <v>5</v>
      </c>
      <c r="F21" s="148">
        <f>IFERROR($E21/$D21,'Auto Responses'!$J$5)</f>
        <v>0.25</v>
      </c>
      <c r="G21" s="149" t="str">
        <f t="shared" ref="G21:G37" si="0">$G$20&amp;B21</f>
        <v>Jump to Company Information</v>
      </c>
      <c r="H21" s="150"/>
      <c r="I21" s="151"/>
      <c r="K21" s="152" t="s">
        <v>436</v>
      </c>
    </row>
    <row r="22" spans="1:11" s="143" customFormat="1" ht="40.5" customHeight="1" x14ac:dyDescent="0.2">
      <c r="A22" s="153"/>
      <c r="B22" s="144" t="str">
        <f>VLOOKUP($K22,'Auto Responses'!$N$4:$O$38,2,0)&amp;""</f>
        <v xml:space="preserve"> Documentation</v>
      </c>
      <c r="C22" s="145" t="b">
        <f>TRUE()</f>
        <v>1</v>
      </c>
      <c r="D22" s="146">
        <f>IF($C22=TRUE(),SUMIF('(backend scoring)'!$B$3:$B$333,$K22,'(backend scoring)'!$O$3:$O$333),"")</f>
        <v>90</v>
      </c>
      <c r="E22" s="147">
        <f>IF($C22=TRUE(),SUMIF('(backend scoring)'!$B$3:$B$333,$K22,'(backend scoring)'!$P$3:$P$333),"")</f>
        <v>10</v>
      </c>
      <c r="F22" s="154">
        <f>IFERROR($E22/$D22,'Auto Responses'!$J$5)</f>
        <v>0.1111111111111111</v>
      </c>
      <c r="G22" s="149" t="str">
        <f t="shared" si="0"/>
        <v>Jump to Documentation</v>
      </c>
      <c r="H22" s="155"/>
      <c r="I22" s="156"/>
      <c r="K22" s="152" t="s">
        <v>437</v>
      </c>
    </row>
    <row r="23" spans="1:11" s="143" customFormat="1" ht="40.5" customHeight="1" x14ac:dyDescent="0.2">
      <c r="A23" s="153"/>
      <c r="B23" s="144" t="str">
        <f>VLOOKUP($K23,'Auto Responses'!$N$4:$O$38,2,0)&amp;""</f>
        <v xml:space="preserve"> Assessment of Third Parties</v>
      </c>
      <c r="C23" s="145" t="b">
        <f>TRUE()</f>
        <v>1</v>
      </c>
      <c r="D23" s="146">
        <f>IF($C23=TRUE(),SUMIF('(backend scoring)'!$B$3:$B$333,$K23,'(backend scoring)'!$O$3:$O$333),"")</f>
        <v>90</v>
      </c>
      <c r="E23" s="147">
        <f>IF($C23=TRUE(),SUMIF('(backend scoring)'!$B$3:$B$333,$K23,'(backend scoring)'!$P$3:$P$333),"")</f>
        <v>40</v>
      </c>
      <c r="F23" s="154">
        <f>IFERROR($E23/$D23,'Auto Responses'!$J$5)</f>
        <v>0.44444444444444442</v>
      </c>
      <c r="G23" s="149" t="str">
        <f t="shared" si="0"/>
        <v>Jump to Assessment of Third Parties</v>
      </c>
      <c r="H23" s="155"/>
      <c r="I23" s="156"/>
      <c r="K23" s="152" t="s">
        <v>438</v>
      </c>
    </row>
    <row r="24" spans="1:11" s="143" customFormat="1" ht="40.5" customHeight="1" x14ac:dyDescent="0.2">
      <c r="B24" s="144" t="str">
        <f>VLOOKUP($K24,'Auto Responses'!$N$4:$O$38,2,0)&amp;""</f>
        <v xml:space="preserve"> Change Management</v>
      </c>
      <c r="C24" s="145" t="b">
        <f>TRUE()</f>
        <v>1</v>
      </c>
      <c r="D24" s="146">
        <f>IF($C24=TRUE(),SUMIF('(backend scoring)'!$B$3:$B$333,$K24,'(backend scoring)'!$O$3:$O$333),"")</f>
        <v>110</v>
      </c>
      <c r="E24" s="147">
        <f>IF($C24=TRUE(),SUMIF('(backend scoring)'!$B$3:$B$333,$K24,'(backend scoring)'!$P$3:$P$333),"")</f>
        <v>80</v>
      </c>
      <c r="F24" s="154">
        <f>IFERROR($E24/$D24,'Auto Responses'!$J$5)</f>
        <v>0.72727272727272729</v>
      </c>
      <c r="G24" s="149" t="str">
        <f t="shared" si="0"/>
        <v>Jump to Change Management</v>
      </c>
      <c r="H24" s="155"/>
      <c r="I24" s="156"/>
      <c r="K24" s="152" t="s">
        <v>439</v>
      </c>
    </row>
    <row r="25" spans="1:11" s="143" customFormat="1" ht="40.5" customHeight="1" x14ac:dyDescent="0.2">
      <c r="B25" s="144" t="str">
        <f>VLOOKUP($K25,'Auto Responses'!$N$4:$O$38,2,0)&amp;""</f>
        <v xml:space="preserve"> Policies, Processes, and Procedures</v>
      </c>
      <c r="C25" s="145" t="b">
        <f>TRUE()</f>
        <v>1</v>
      </c>
      <c r="D25" s="146">
        <f>IF($C25=TRUE(),SUMIF('(backend scoring)'!$B$3:$B$333,$K25,'(backend scoring)'!$O$3:$O$333),"")</f>
        <v>145</v>
      </c>
      <c r="E25" s="147">
        <f>IF($C25=TRUE(),SUMIF('(backend scoring)'!$B$3:$B$333,$K25,'(backend scoring)'!$P$3:$P$333),"")</f>
        <v>85</v>
      </c>
      <c r="F25" s="154">
        <f>IFERROR($E25/$D25,'Auto Responses'!$J$5)</f>
        <v>0.58620689655172409</v>
      </c>
      <c r="G25" s="149" t="str">
        <f t="shared" si="0"/>
        <v>Jump to Policies, Processes, and Procedures</v>
      </c>
      <c r="H25" s="155"/>
      <c r="I25" s="156"/>
      <c r="K25" s="152" t="s">
        <v>440</v>
      </c>
    </row>
    <row r="26" spans="1:11" s="143" customFormat="1" ht="40.5" customHeight="1" x14ac:dyDescent="0.2">
      <c r="B26" s="144" t="str">
        <f>VLOOKUP($K26,'Auto Responses'!$N$4:$O$38,2,0)&amp;""</f>
        <v xml:space="preserve"> Authentication, Authorization, and Account Management</v>
      </c>
      <c r="C26" s="145" t="b">
        <f>TRUE()</f>
        <v>1</v>
      </c>
      <c r="D26" s="146">
        <f>IF($C26=TRUE(),SUMIF('(backend scoring)'!$B$3:$B$333,$K26,'(backend scoring)'!$O$3:$O$333),"")</f>
        <v>0</v>
      </c>
      <c r="E26" s="147">
        <f>IF($C26=TRUE(),SUMIF('(backend scoring)'!$B$3:$B$333,$K26,'(backend scoring)'!$P$3:$P$333),"")</f>
        <v>0</v>
      </c>
      <c r="F26" s="154" t="str">
        <f>IFERROR($E26/$D26,'Auto Responses'!$J$5)</f>
        <v>N/A</v>
      </c>
      <c r="G26" s="149" t="str">
        <f t="shared" si="0"/>
        <v>Jump to Authentication, Authorization, and Account Management</v>
      </c>
      <c r="H26" s="155"/>
      <c r="I26" s="156"/>
      <c r="K26" s="152" t="s">
        <v>441</v>
      </c>
    </row>
    <row r="27" spans="1:11" s="143" customFormat="1" ht="40.5" customHeight="1" x14ac:dyDescent="0.2">
      <c r="B27" s="144" t="str">
        <f>VLOOKUP($K27,'Auto Responses'!$N$4:$O$38,2,0)&amp;""</f>
        <v xml:space="preserve"> Data</v>
      </c>
      <c r="C27" s="145" t="b">
        <f>TRUE()</f>
        <v>1</v>
      </c>
      <c r="D27" s="146">
        <f>IF($C27=TRUE(),SUMIF('(backend scoring)'!$B$3:$B$333,$K27,'(backend scoring)'!$O$3:$O$333),"")</f>
        <v>0</v>
      </c>
      <c r="E27" s="147">
        <f>IF($C27=TRUE(),SUMIF('(backend scoring)'!$B$3:$B$333,$K27,'(backend scoring)'!$P$3:$P$333),"")</f>
        <v>0</v>
      </c>
      <c r="F27" s="154" t="str">
        <f>IFERROR($E27/$D27,'Auto Responses'!$J$5)</f>
        <v>N/A</v>
      </c>
      <c r="G27" s="149" t="str">
        <f t="shared" si="0"/>
        <v>Jump to Data</v>
      </c>
      <c r="H27" s="155"/>
      <c r="I27" s="156"/>
      <c r="K27" s="152" t="s">
        <v>442</v>
      </c>
    </row>
    <row r="28" spans="1:11" s="143" customFormat="1" ht="40.5" customHeight="1" x14ac:dyDescent="0.2">
      <c r="B28" s="144" t="str">
        <f>VLOOKUP($K28,'Auto Responses'!$N$4:$O$38,2,0)&amp;""</f>
        <v xml:space="preserve"> Application/Service Security</v>
      </c>
      <c r="C28" s="145" t="b">
        <f>TRUE()</f>
        <v>1</v>
      </c>
      <c r="D28" s="146">
        <f>IF($C28=TRUE(),SUMIF('(backend scoring)'!$B$3:$B$333,$K28,'(backend scoring)'!$O$3:$O$333),"")</f>
        <v>0</v>
      </c>
      <c r="E28" s="147">
        <f>IF($C28=TRUE(),SUMIF('(backend scoring)'!$B$3:$B$333,$K28,'(backend scoring)'!$P$3:$P$333),"")</f>
        <v>0</v>
      </c>
      <c r="F28" s="154" t="str">
        <f>IFERROR($E28/$D28,'Auto Responses'!$J$5)</f>
        <v>N/A</v>
      </c>
      <c r="G28" s="149" t="str">
        <f t="shared" si="0"/>
        <v>Jump to Application/Service Security</v>
      </c>
      <c r="H28" s="155"/>
      <c r="I28" s="156"/>
      <c r="K28" s="152" t="s">
        <v>443</v>
      </c>
    </row>
    <row r="29" spans="1:11" s="143" customFormat="1" ht="40.5" customHeight="1" x14ac:dyDescent="0.2">
      <c r="B29" s="144" t="str">
        <f>VLOOKUP($K29,'Auto Responses'!$N$4:$O$38,2,0)&amp;""</f>
        <v xml:space="preserve"> Datacenter</v>
      </c>
      <c r="C29" s="145" t="b">
        <f>TRUE()</f>
        <v>1</v>
      </c>
      <c r="D29" s="146">
        <f>IF($C29=TRUE(),SUMIF('(backend scoring)'!$B$3:$B$333,$K29,'(backend scoring)'!$O$3:$O$333),"")</f>
        <v>0</v>
      </c>
      <c r="E29" s="147">
        <f>IF($C29=TRUE(),SUMIF('(backend scoring)'!$B$3:$B$333,$K29,'(backend scoring)'!$P$3:$P$333),"")</f>
        <v>0</v>
      </c>
      <c r="F29" s="154" t="str">
        <f>IFERROR($E29/$D29,'Auto Responses'!$J$5)</f>
        <v>N/A</v>
      </c>
      <c r="G29" s="149" t="str">
        <f t="shared" si="0"/>
        <v>Jump to Datacenter</v>
      </c>
      <c r="H29" s="155"/>
      <c r="I29" s="156"/>
      <c r="K29" s="152" t="s">
        <v>444</v>
      </c>
    </row>
    <row r="30" spans="1:11" s="143" customFormat="1" ht="40.5" customHeight="1" x14ac:dyDescent="0.2">
      <c r="B30" s="144" t="str">
        <f>VLOOKUP($K30,'Auto Responses'!$N$4:$O$38,2,0)&amp;""</f>
        <v xml:space="preserve"> Firewalls, IDS, IPS, and Networking</v>
      </c>
      <c r="C30" s="145" t="b">
        <f>TRUE()</f>
        <v>1</v>
      </c>
      <c r="D30" s="146">
        <f>IF($C30=TRUE(),SUMIF('(backend scoring)'!$B$3:$B$333,$K30,'(backend scoring)'!$O$3:$O$333),"")</f>
        <v>0</v>
      </c>
      <c r="E30" s="147">
        <f>IF($C30=TRUE(),SUMIF('(backend scoring)'!$B$3:$B$333,$K30,'(backend scoring)'!$P$3:$P$333),"")</f>
        <v>0</v>
      </c>
      <c r="F30" s="154" t="str">
        <f>IFERROR($E30/$D30,'Auto Responses'!$J$5)</f>
        <v>N/A</v>
      </c>
      <c r="G30" s="149" t="str">
        <f t="shared" si="0"/>
        <v>Jump to Firewalls, IDS, IPS, and Networking</v>
      </c>
      <c r="H30" s="155"/>
      <c r="I30" s="156"/>
      <c r="K30" s="152" t="s">
        <v>445</v>
      </c>
    </row>
    <row r="31" spans="1:11" s="143" customFormat="1" ht="40.5" customHeight="1" x14ac:dyDescent="0.2">
      <c r="B31" s="144" t="str">
        <f>VLOOKUP($K31,'Auto Responses'!$N$4:$O$38,2,0)&amp;""</f>
        <v xml:space="preserve"> Incident Handling</v>
      </c>
      <c r="C31" s="145" t="b">
        <f>TRUE()</f>
        <v>1</v>
      </c>
      <c r="D31" s="146">
        <f>IF($C31=TRUE(),SUMIF('(backend scoring)'!$B$3:$B$333,$K31,'(backend scoring)'!$O$3:$O$333),"")</f>
        <v>0</v>
      </c>
      <c r="E31" s="147">
        <f>IF($C31=TRUE(),SUMIF('(backend scoring)'!$B$3:$B$333,$K31,'(backend scoring)'!$P$3:$P$333),"")</f>
        <v>0</v>
      </c>
      <c r="F31" s="154" t="str">
        <f>IFERROR($E31/$D31,'Auto Responses'!$J$5)</f>
        <v>N/A</v>
      </c>
      <c r="G31" s="149" t="str">
        <f t="shared" si="0"/>
        <v>Jump to Incident Handling</v>
      </c>
      <c r="H31" s="155"/>
      <c r="I31" s="156"/>
      <c r="K31" s="152" t="s">
        <v>446</v>
      </c>
    </row>
    <row r="32" spans="1:11" s="143" customFormat="1" ht="40.5" customHeight="1" x14ac:dyDescent="0.2">
      <c r="B32" s="144" t="str">
        <f>VLOOKUP($K32,'Auto Responses'!$N$4:$O$38,2,0)&amp;""</f>
        <v xml:space="preserve"> Vulnerability Management</v>
      </c>
      <c r="C32" s="145" t="b">
        <f>TRUE()</f>
        <v>1</v>
      </c>
      <c r="D32" s="146">
        <f>IF($C32=TRUE(),SUMIF('(backend scoring)'!$B$3:$B$333,$K32,'(backend scoring)'!$O$3:$O$333),"")</f>
        <v>0</v>
      </c>
      <c r="E32" s="147">
        <f>IF($C32=TRUE(),SUMIF('(backend scoring)'!$B$3:$B$333,$K32,'(backend scoring)'!$P$3:$P$333),"")</f>
        <v>0</v>
      </c>
      <c r="F32" s="154" t="str">
        <f>IFERROR($E32/$D32,'Auto Responses'!$J$5)</f>
        <v>N/A</v>
      </c>
      <c r="G32" s="149" t="str">
        <f t="shared" si="0"/>
        <v>Jump to Vulnerability Management</v>
      </c>
      <c r="H32" s="155"/>
      <c r="I32" s="156"/>
      <c r="K32" s="152" t="s">
        <v>447</v>
      </c>
    </row>
    <row r="33" spans="1:13" s="143" customFormat="1" ht="40.5" customHeight="1" x14ac:dyDescent="0.2">
      <c r="B33" s="144" t="str">
        <f>VLOOKUP($K33,'Auto Responses'!$N$4:$O$38,2,0)&amp;""</f>
        <v xml:space="preserve"> Consulting Services</v>
      </c>
      <c r="C33" s="145" t="b">
        <f>TRUE()</f>
        <v>1</v>
      </c>
      <c r="D33" s="146">
        <f>IF($C33=TRUE(),SUMIF('(backend scoring)'!$B$3:$B$333,$K33,'(backend scoring)'!$O$3:$O$333),"")</f>
        <v>0</v>
      </c>
      <c r="E33" s="147">
        <f>IF($C33=TRUE(),SUMIF('(backend scoring)'!$B$3:$B$333,$K33,'(backend scoring)'!$P$3:$P$333),"")</f>
        <v>0</v>
      </c>
      <c r="F33" s="154" t="str">
        <f>IFERROR($E33/$D33,'Auto Responses'!$J$5)</f>
        <v>N/A</v>
      </c>
      <c r="G33" s="149" t="str">
        <f t="shared" si="0"/>
        <v>Jump to Consulting Services</v>
      </c>
      <c r="H33" s="155"/>
      <c r="I33" s="156"/>
      <c r="K33" s="152" t="s">
        <v>448</v>
      </c>
    </row>
    <row r="34" spans="1:13" s="143" customFormat="1" ht="40.5" customHeight="1" x14ac:dyDescent="0.2">
      <c r="B34" s="144" t="str">
        <f>VLOOKUP($K34,'Auto Responses'!$N$4:$O$38,2,0)&amp;""</f>
        <v xml:space="preserve">HIPAA Compliance </v>
      </c>
      <c r="C34" s="145" t="b">
        <f>TRUE()</f>
        <v>1</v>
      </c>
      <c r="D34" s="146">
        <f>IF($C34=TRUE(),SUMIF('(backend scoring)'!$B$3:$B$333,$K34,'(backend scoring)'!$O$3:$O$333),"")</f>
        <v>0</v>
      </c>
      <c r="E34" s="147">
        <f>IF($C34=TRUE(),SUMIF('(backend scoring)'!$B$3:$B$333,$K34,'(backend scoring)'!$P$3:$P$333),"")</f>
        <v>0</v>
      </c>
      <c r="F34" s="154" t="str">
        <f>IFERROR($E34/$D34,'Auto Responses'!$J$5)</f>
        <v>N/A</v>
      </c>
      <c r="G34" s="149" t="str">
        <f t="shared" si="0"/>
        <v xml:space="preserve">Jump toHIPAA Compliance </v>
      </c>
      <c r="H34" s="155"/>
      <c r="I34" s="156"/>
      <c r="K34" s="152" t="s">
        <v>449</v>
      </c>
    </row>
    <row r="35" spans="1:13" s="143" customFormat="1" ht="40.5" customHeight="1" x14ac:dyDescent="0.2">
      <c r="B35" s="144" t="str">
        <f>VLOOKUP($K35,'Auto Responses'!$N$4:$O$38,2,0)&amp;""</f>
        <v xml:space="preserve"> Payment Card Industry Data Security Standard (PCI DSS)</v>
      </c>
      <c r="C35" s="145" t="b">
        <f>TRUE()</f>
        <v>1</v>
      </c>
      <c r="D35" s="146">
        <f>IF($C35=TRUE(),SUMIF('(backend scoring)'!$B$3:$B$333,$K35,'(backend scoring)'!$O$3:$O$333),"")</f>
        <v>0</v>
      </c>
      <c r="E35" s="147">
        <f>IF($C35=TRUE(),SUMIF('(backend scoring)'!$B$3:$B$333,$K35,'(backend scoring)'!$P$3:$P$333),"")</f>
        <v>0</v>
      </c>
      <c r="F35" s="154" t="str">
        <f>IFERROR($E35/$D35,'Auto Responses'!$J$5)</f>
        <v>N/A</v>
      </c>
      <c r="G35" s="149" t="str">
        <f t="shared" si="0"/>
        <v>Jump to Payment Card Industry Data Security Standard (PCI DSS)</v>
      </c>
      <c r="H35" s="155"/>
      <c r="I35" s="156"/>
      <c r="K35" s="152" t="s">
        <v>450</v>
      </c>
    </row>
    <row r="36" spans="1:13" s="143" customFormat="1" ht="40.5" customHeight="1" x14ac:dyDescent="0.2">
      <c r="B36" s="144" t="str">
        <f>VLOOKUP($K36,'Auto Responses'!$N$4:$O$38,2,0)&amp;""</f>
        <v xml:space="preserve"> On-Premises Data Solutions</v>
      </c>
      <c r="C36" s="145" t="b">
        <f>TRUE()</f>
        <v>1</v>
      </c>
      <c r="D36" s="146">
        <f>IF($C36=TRUE(),SUMIF('(backend scoring)'!$B$3:$B$333,$K36,'(backend scoring)'!$O$3:$O$333),"")</f>
        <v>0</v>
      </c>
      <c r="E36" s="147">
        <f>IF($C36=TRUE(),SUMIF('(backend scoring)'!$B$3:$B$333,$K36,'(backend scoring)'!$P$3:$P$333),"")</f>
        <v>0</v>
      </c>
      <c r="F36" s="154" t="str">
        <f>IFERROR($E36/$D36,'Auto Responses'!$J$5)</f>
        <v>N/A</v>
      </c>
      <c r="G36" s="149" t="str">
        <f t="shared" si="0"/>
        <v>Jump to On-Premises Data Solutions</v>
      </c>
      <c r="H36" s="155"/>
      <c r="I36" s="156"/>
      <c r="K36" s="152" t="s">
        <v>451</v>
      </c>
    </row>
    <row r="37" spans="1:13" s="143" customFormat="1" ht="40.5" customHeight="1" x14ac:dyDescent="0.2">
      <c r="B37" s="144" t="str">
        <f>VLOOKUP($K37,'Auto Responses'!$N$4:$O$38,2,0)&amp;""</f>
        <v xml:space="preserve"> IT Accessibility</v>
      </c>
      <c r="C37" s="145" t="b">
        <f>TRUE()</f>
        <v>1</v>
      </c>
      <c r="D37" s="146">
        <f>IF($C37=TRUE(),SUMIF('(backend scoring)'!$B$3:$B$333,$K37,'(backend scoring)'!$O$3:$O$333),"")</f>
        <v>170</v>
      </c>
      <c r="E37" s="147">
        <f>IF($C37=TRUE(),SUMIF('(backend scoring)'!$B$3:$B$333,$K37,'(backend scoring)'!$P$3:$P$333),"")</f>
        <v>80</v>
      </c>
      <c r="F37" s="154">
        <f>IFERROR($E37/$D37,'Auto Responses'!$J$5)</f>
        <v>0.47058823529411764</v>
      </c>
      <c r="G37" s="149" t="str">
        <f t="shared" si="0"/>
        <v>Jump to IT Accessibility</v>
      </c>
      <c r="H37" s="155"/>
      <c r="I37" s="156"/>
      <c r="K37" s="152" t="s">
        <v>452</v>
      </c>
    </row>
    <row r="38" spans="1:13" s="143" customFormat="1" ht="40.5" customHeight="1" x14ac:dyDescent="0.2">
      <c r="B38" s="144" t="s">
        <v>453</v>
      </c>
      <c r="C38" s="145" t="b">
        <f>TRUE()</f>
        <v>1</v>
      </c>
      <c r="D38" s="157">
        <f>IF($C38=TRUE(),SUMIF('(backend scoring)'!$E$3:$E$333,'Auto Responses'!$L$20,'(backend scoring)'!$O$3:$O$333),"")</f>
        <v>0</v>
      </c>
      <c r="E38" s="157">
        <f>IF($C38=TRUE(),SUMIF('(backend scoring)'!$E$3:$E$333,'Auto Responses'!$L$20,'(backend scoring)'!$P$3:$P$333),"")</f>
        <v>0</v>
      </c>
      <c r="F38" s="154" t="str">
        <f>IFERROR($E38/$D38,'Auto Responses'!$J$5)</f>
        <v>N/A</v>
      </c>
      <c r="G38" s="158" t="str">
        <f>"Jump to AI Questions"</f>
        <v>Jump to AI Questions</v>
      </c>
      <c r="H38" s="155"/>
      <c r="I38" s="156"/>
    </row>
    <row r="39" spans="1:13" s="143" customFormat="1" ht="40.5" customHeight="1" x14ac:dyDescent="0.2">
      <c r="B39" s="159" t="s">
        <v>454</v>
      </c>
      <c r="C39" s="160" t="b">
        <f>TRUE()</f>
        <v>1</v>
      </c>
      <c r="D39" s="161">
        <f>IF($C39=TRUE(),'Privacy Analyst Evaluation'!$D$31,"")</f>
        <v>445</v>
      </c>
      <c r="E39" s="161">
        <f>IF($C39=TRUE(),'Privacy Analyst Evaluation'!$E$31,"")</f>
        <v>285</v>
      </c>
      <c r="F39" s="162">
        <f>IFERROR($E39/$D39,'Auto Responses'!$J$5)</f>
        <v>0.6404494382022472</v>
      </c>
      <c r="G39" s="163" t="str">
        <f>"Jump to Privacy Scorecard"</f>
        <v>Jump to Privacy Scorecard</v>
      </c>
      <c r="H39" s="164"/>
      <c r="I39" s="165"/>
    </row>
    <row r="40" spans="1:13" s="143" customFormat="1" ht="30" customHeight="1" x14ac:dyDescent="0.15">
      <c r="B40" s="136" t="s">
        <v>455</v>
      </c>
      <c r="C40" s="137"/>
      <c r="D40" s="166">
        <f>SUM(D21:D39)</f>
        <v>1070</v>
      </c>
      <c r="E40" s="166">
        <f>SUM(E21:E39)</f>
        <v>585</v>
      </c>
      <c r="F40" s="167">
        <f>IFERROR(E40/D40,'Auto Responses'!$J$5)</f>
        <v>0.54672897196261683</v>
      </c>
      <c r="G40" s="168"/>
      <c r="H40" s="169"/>
      <c r="I40" s="170"/>
      <c r="J40" s="62" t="s">
        <v>35</v>
      </c>
    </row>
    <row r="41" spans="1:13" ht="15" customHeight="1" x14ac:dyDescent="0.2">
      <c r="F41" s="100" t="s">
        <v>456</v>
      </c>
    </row>
    <row r="42" spans="1:13" ht="15" customHeight="1" x14ac:dyDescent="0.2"/>
    <row r="43" spans="1:13" ht="15" customHeight="1" x14ac:dyDescent="0.2"/>
    <row r="44" spans="1:13" s="61" customFormat="1" ht="36" customHeight="1" x14ac:dyDescent="0.15">
      <c r="A44" s="171" t="s">
        <v>457</v>
      </c>
      <c r="B44" s="171"/>
      <c r="C44" s="172"/>
      <c r="D44" s="171"/>
      <c r="E44" s="171"/>
      <c r="F44" s="171"/>
      <c r="G44" s="171"/>
      <c r="H44" s="171"/>
      <c r="I44" s="171"/>
      <c r="J44" s="171"/>
      <c r="K44" s="171"/>
      <c r="L44" s="100"/>
      <c r="M44" s="3"/>
    </row>
    <row r="45" spans="1:13" s="61" customFormat="1" ht="36" customHeight="1" x14ac:dyDescent="0.15">
      <c r="A45" s="173" t="s">
        <v>458</v>
      </c>
      <c r="B45" s="173"/>
      <c r="C45" s="174"/>
      <c r="D45" s="173"/>
      <c r="E45" s="173"/>
      <c r="F45" s="173"/>
      <c r="G45" s="173"/>
      <c r="H45" s="173"/>
      <c r="I45" s="173"/>
      <c r="J45" s="173"/>
      <c r="K45" s="173"/>
      <c r="L45" s="100"/>
      <c r="M45" s="3"/>
    </row>
    <row r="46" spans="1:13" s="3" customFormat="1" ht="36" customHeight="1" x14ac:dyDescent="0.15">
      <c r="A46" s="18" t="s">
        <v>427</v>
      </c>
      <c r="B46" s="19"/>
      <c r="C46" s="20"/>
      <c r="D46" s="21"/>
      <c r="E46" s="21"/>
      <c r="F46" s="22"/>
      <c r="G46" s="22"/>
      <c r="H46" s="22"/>
      <c r="I46" s="22"/>
      <c r="J46" s="22"/>
      <c r="K46" s="22"/>
      <c r="L46" s="100"/>
    </row>
    <row r="47" spans="1:13" s="3" customFormat="1" ht="19.5" customHeight="1" x14ac:dyDescent="0.15">
      <c r="A47" s="108" t="str">
        <f>HLOOKUP($A$4,'Auto Responses'!$F$2:$F$7,2,0)&amp;""</f>
        <v>1. Upon initial review, you can check the "Non-Negotiable" box by any question to compile a report of questions that may prohibit a full review.</v>
      </c>
      <c r="B47" s="111"/>
      <c r="C47" s="111"/>
      <c r="D47" s="111"/>
      <c r="E47" s="111"/>
      <c r="F47" s="111"/>
      <c r="G47" s="111"/>
      <c r="H47" s="111"/>
      <c r="I47" s="111"/>
      <c r="J47" s="111"/>
      <c r="K47" s="24"/>
      <c r="L47" s="100"/>
    </row>
    <row r="48" spans="1:13" s="3" customFormat="1" ht="19.5" customHeight="1" x14ac:dyDescent="0.15">
      <c r="A48" s="108" t="str">
        <f>HLOOKUP($A$4,'Auto Responses'!$F$2:$F$7,3,0)&amp;""</f>
        <v>2. When evaluating an answer, a default importance level has been set. You can use the "Importance Override" dropdown to override the default and adjust the value of the question.</v>
      </c>
      <c r="B48" s="111"/>
      <c r="C48" s="111"/>
      <c r="D48" s="111"/>
      <c r="E48" s="111"/>
      <c r="F48" s="111"/>
      <c r="G48" s="111"/>
      <c r="H48" s="111"/>
      <c r="I48" s="111"/>
      <c r="J48" s="111"/>
      <c r="K48" s="24"/>
      <c r="L48" s="100"/>
    </row>
    <row r="49" spans="1:13" s="3" customFormat="1" ht="19.5" customHeight="1" x14ac:dyDescent="0.15">
      <c r="A49" s="108" t="str">
        <f>HLOOKUP($A$4,'Auto Responses'!$F$2:$F$7,4,0)&amp;""</f>
        <v>3. For questions that are qualitative or for which you disagree with the preferred response, make a selection in the "Compliant Override" dropdown to adjust the question's impact on the score.</v>
      </c>
      <c r="B49" s="111"/>
      <c r="C49" s="111"/>
      <c r="D49" s="111"/>
      <c r="E49" s="111"/>
      <c r="F49" s="111"/>
      <c r="G49" s="111"/>
      <c r="H49" s="111"/>
      <c r="I49" s="111"/>
      <c r="J49" s="111"/>
      <c r="K49" s="24"/>
      <c r="L49" s="100"/>
    </row>
    <row r="50" spans="1:13" s="3" customFormat="1" ht="19.5" customHeight="1" x14ac:dyDescent="0.15">
      <c r="A50" s="108" t="str">
        <f>HLOOKUP($A$4,'Auto Responses'!$F$2:$F$7,5,0)&amp;""</f>
        <v xml:space="preserve">4. Each worksheet shows a report for that section. See the "Analyst Report" sheet for a full report of all sections. </v>
      </c>
      <c r="B50" s="111"/>
      <c r="C50" s="111"/>
      <c r="D50" s="111"/>
      <c r="E50" s="111"/>
      <c r="F50" s="111"/>
      <c r="G50" s="111"/>
      <c r="H50" s="111"/>
      <c r="I50" s="111"/>
      <c r="J50" s="111"/>
      <c r="K50" s="24"/>
      <c r="L50" s="100"/>
    </row>
    <row r="51" spans="1:13" s="3" customFormat="1" ht="19.5" customHeight="1" x14ac:dyDescent="0.15">
      <c r="A51" s="108" t="str">
        <f>HLOOKUP($A$4,'Auto Responses'!$F$2:$F$7,6,0)&amp;""</f>
        <v xml:space="preserve">5. If you are evaluating a question that appears in an earlier section, the Importance and Compliant Override cannot be changed but additional notes can be added. </v>
      </c>
      <c r="B51" s="111"/>
      <c r="C51" s="111"/>
      <c r="D51" s="111"/>
      <c r="E51" s="111"/>
      <c r="F51" s="111"/>
      <c r="G51" s="111"/>
      <c r="H51" s="111"/>
      <c r="I51" s="111"/>
      <c r="J51" s="111"/>
      <c r="K51" s="24"/>
      <c r="L51" s="100"/>
    </row>
    <row r="52" spans="1:13" s="3" customFormat="1" ht="19.5" customHeight="1" x14ac:dyDescent="0.15">
      <c r="A52" s="110" t="str">
        <f>HLOOKUP($A$4,'Auto Responses'!$F$2:$F$8,7,0)&amp;""</f>
        <v>For full instructions, please visit EDUCAUSE.edu/HECVAT</v>
      </c>
      <c r="B52" s="111"/>
      <c r="C52" s="111"/>
      <c r="D52" s="111"/>
      <c r="E52" s="111"/>
      <c r="F52" s="111"/>
      <c r="G52" s="111"/>
      <c r="H52" s="111"/>
      <c r="I52" s="111"/>
      <c r="J52" s="111"/>
      <c r="K52" s="24"/>
      <c r="L52" s="100"/>
    </row>
    <row r="53" spans="1:13" s="61" customFormat="1" ht="41.25" customHeight="1" x14ac:dyDescent="0.15">
      <c r="A53" s="175"/>
      <c r="B53" s="175"/>
      <c r="C53" s="176"/>
      <c r="D53" s="175"/>
      <c r="E53" s="175"/>
      <c r="F53" s="177" t="s">
        <v>24</v>
      </c>
      <c r="G53" s="178" t="s">
        <v>459</v>
      </c>
      <c r="H53" s="179"/>
      <c r="I53" s="179"/>
      <c r="J53" s="179"/>
      <c r="K53" s="179"/>
      <c r="L53" s="100"/>
      <c r="M53" s="3"/>
    </row>
    <row r="54" spans="1:13" s="189" customFormat="1" ht="63" customHeight="1" x14ac:dyDescent="0.15">
      <c r="A54" s="180" t="s">
        <v>460</v>
      </c>
      <c r="B54" s="181" t="s">
        <v>461</v>
      </c>
      <c r="C54" s="181" t="s">
        <v>21</v>
      </c>
      <c r="D54" s="182" t="s">
        <v>22</v>
      </c>
      <c r="E54" s="183" t="s">
        <v>23</v>
      </c>
      <c r="F54" s="184" t="s">
        <v>462</v>
      </c>
      <c r="G54" s="185" t="s">
        <v>463</v>
      </c>
      <c r="H54" s="186" t="s">
        <v>464</v>
      </c>
      <c r="I54" s="186" t="s">
        <v>465</v>
      </c>
      <c r="J54" s="187" t="s">
        <v>466</v>
      </c>
      <c r="K54" s="188" t="s">
        <v>467</v>
      </c>
      <c r="L54" s="100"/>
      <c r="M54" s="3"/>
    </row>
    <row r="55" spans="1:13" s="3" customFormat="1" ht="17.25" customHeight="1" x14ac:dyDescent="0.15">
      <c r="A55" s="32" t="str">
        <f>VLOOKUP(LEFT($A56,4),'Auto Responses'!$N$4:$O$38,2,0)&amp;""</f>
        <v xml:space="preserve"> General Information</v>
      </c>
      <c r="B55" s="41"/>
      <c r="C55" s="42"/>
      <c r="D55" s="42"/>
      <c r="E55" s="190"/>
      <c r="F55" s="191" t="s">
        <v>468</v>
      </c>
      <c r="G55" s="42"/>
      <c r="H55" s="42"/>
      <c r="I55" s="42"/>
      <c r="J55" s="42"/>
      <c r="K55" s="42"/>
      <c r="L55" s="100"/>
    </row>
    <row r="56" spans="1:13" s="189" customFormat="1" ht="15" customHeight="1" x14ac:dyDescent="0.15">
      <c r="A56" s="36" t="str">
        <f>'START HERE'!$A$13</f>
        <v>GNRL-01</v>
      </c>
      <c r="B56" s="37" t="str">
        <f>VLOOKUP($A56,'START HERE'!$A$13:$E$36,2,0)&amp;""</f>
        <v>Solution Provider Name</v>
      </c>
      <c r="C56" s="192" t="str">
        <f>VLOOKUP($A56,'START HERE'!$A$13:$E$36,3,0)&amp;""</f>
        <v>SmartPLS GmbH</v>
      </c>
      <c r="D56" s="193" t="str">
        <f>IF(LEFT(VLOOKUP($A56,'START HERE'!$A$13:$E$36,5,0),21)='Auto Responses'!$A$32,'Auto Responses'!$A$33,VLOOKUP($A56,'START HERE'!$A$13:$E$36,4,0))&amp;""</f>
        <v/>
      </c>
      <c r="E56" s="194" t="str">
        <f>VLOOKUP($A56,'START HERE'!$A$13:$E$36,5,0)&amp;""</f>
        <v/>
      </c>
      <c r="F56" s="195"/>
      <c r="G56" s="196" t="str">
        <f>VLOOKUP($A56,Questions!$A$2:$X$333,21,0)&amp;""</f>
        <v>Not scored</v>
      </c>
      <c r="H56" s="197"/>
      <c r="I56" s="198" t="str">
        <f>VLOOKUP($A56,Questions!$A$2:$X$333,23,0)&amp;""</f>
        <v/>
      </c>
      <c r="J56" s="197"/>
      <c r="K56" s="199"/>
      <c r="L56" s="100"/>
      <c r="M56" s="3"/>
    </row>
    <row r="57" spans="1:13" s="189" customFormat="1" ht="15" customHeight="1" x14ac:dyDescent="0.15">
      <c r="A57" s="36" t="str">
        <f>'START HERE'!$A$14</f>
        <v>GNRL-02</v>
      </c>
      <c r="B57" s="37" t="str">
        <f>VLOOKUP($A57,'START HERE'!$A$13:$E$36,2,0)&amp;""</f>
        <v>Solution Name</v>
      </c>
      <c r="C57" s="192" t="str">
        <f>VLOOKUP($A57,'START HERE'!$A$13:$E$36,3,0)&amp;""</f>
        <v>SmartPLS 4.1.1.9 (SmartPLS Desktop)</v>
      </c>
      <c r="D57" s="193" t="str">
        <f>IF(LEFT(VLOOKUP($A57,'START HERE'!$A$13:$E$36,5,0),21)='Auto Responses'!$A$32,'Auto Responses'!$A$33,VLOOKUP($A57,'START HERE'!$A$13:$E$36,4,0))&amp;""</f>
        <v/>
      </c>
      <c r="E57" s="194" t="str">
        <f>VLOOKUP($A57,'START HERE'!$A$13:$E$36,5,0)&amp;""</f>
        <v/>
      </c>
      <c r="F57" s="195"/>
      <c r="G57" s="196" t="str">
        <f>VLOOKUP($A57,Questions!$A$2:$X$333,21,0)&amp;""</f>
        <v>Not scored</v>
      </c>
      <c r="H57" s="197"/>
      <c r="I57" s="198" t="str">
        <f>VLOOKUP($A57,Questions!$A$2:$X$333,23,0)&amp;""</f>
        <v/>
      </c>
      <c r="J57" s="197"/>
      <c r="K57" s="199"/>
      <c r="L57" s="100"/>
      <c r="M57" s="3"/>
    </row>
    <row r="58" spans="1:13" s="189" customFormat="1" ht="15" customHeight="1" x14ac:dyDescent="0.15">
      <c r="A58" s="36" t="str">
        <f>'START HERE'!$A$15</f>
        <v>GNRL-03</v>
      </c>
      <c r="B58" s="37" t="str">
        <f>VLOOKUP($A58,'START HERE'!$A$13:$E$36,2,0)&amp;""</f>
        <v>Solution Description</v>
      </c>
      <c r="C58" s="192" t="str">
        <f>VLOOKUP($A58,'START HERE'!$A$13:$E$36,3,0)&amp;""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58" s="193" t="str">
        <f>IF(LEFT(VLOOKUP($A58,'START HERE'!$A$13:$E$36,5,0),21)='Auto Responses'!$A$32,'Auto Responses'!$A$33,VLOOKUP($A58,'START HERE'!$A$13:$E$36,4,0))&amp;""</f>
        <v/>
      </c>
      <c r="E58" s="194" t="str">
        <f>VLOOKUP($A58,'START HERE'!$A$13:$E$36,5,0)&amp;""</f>
        <v/>
      </c>
      <c r="F58" s="195"/>
      <c r="G58" s="196" t="str">
        <f>VLOOKUP($A58,Questions!$A$2:$X$333,21,0)&amp;""</f>
        <v>Not scored</v>
      </c>
      <c r="H58" s="197"/>
      <c r="I58" s="198" t="str">
        <f>VLOOKUP($A58,Questions!$A$2:$X$333,23,0)&amp;""</f>
        <v/>
      </c>
      <c r="J58" s="197"/>
      <c r="K58" s="199"/>
      <c r="L58" s="100"/>
      <c r="M58" s="3"/>
    </row>
    <row r="59" spans="1:13" s="189" customFormat="1" ht="15" customHeight="1" x14ac:dyDescent="0.15">
      <c r="A59" s="36" t="str">
        <f>'START HERE'!$A$16</f>
        <v>GNRL-04</v>
      </c>
      <c r="B59" s="37" t="str">
        <f>VLOOKUP($A59,'START HERE'!$A$13:$E$36,2,0)&amp;""</f>
        <v>Solution Provider Contact Name</v>
      </c>
      <c r="C59" s="192" t="str">
        <f>VLOOKUP($A59,'START HERE'!$A$13:$E$36,3,0)&amp;""</f>
        <v>Sven Wende</v>
      </c>
      <c r="D59" s="193" t="str">
        <f>IF(LEFT(VLOOKUP($A59,'START HERE'!$A$13:$E$36,5,0),21)='Auto Responses'!$A$32,'Auto Responses'!$A$33,VLOOKUP($A59,'START HERE'!$A$13:$E$36,4,0))&amp;""</f>
        <v/>
      </c>
      <c r="E59" s="194" t="str">
        <f>VLOOKUP($A59,'START HERE'!$A$13:$E$36,5,0)&amp;""</f>
        <v/>
      </c>
      <c r="F59" s="195"/>
      <c r="G59" s="196" t="str">
        <f>VLOOKUP($A59,Questions!$A$2:$X$333,21,0)&amp;""</f>
        <v>Not scored</v>
      </c>
      <c r="H59" s="197"/>
      <c r="I59" s="198" t="str">
        <f>VLOOKUP($A59,Questions!$A$2:$X$333,23,0)&amp;""</f>
        <v/>
      </c>
      <c r="J59" s="197"/>
      <c r="K59" s="199"/>
      <c r="L59" s="100"/>
      <c r="M59" s="3"/>
    </row>
    <row r="60" spans="1:13" s="189" customFormat="1" ht="15" customHeight="1" x14ac:dyDescent="0.15">
      <c r="A60" s="36" t="str">
        <f>'START HERE'!$A$17</f>
        <v>GNRL-05</v>
      </c>
      <c r="B60" s="37" t="str">
        <f>VLOOKUP($A60,'START HERE'!$A$13:$E$36,2,0)&amp;""</f>
        <v>Solution Provider Contact Title</v>
      </c>
      <c r="C60" s="192" t="str">
        <f>VLOOKUP($A60,'START HERE'!$A$13:$E$36,3,0)&amp;""</f>
        <v>Co-Founder &amp; Managing Director</v>
      </c>
      <c r="D60" s="193" t="str">
        <f>IF(LEFT(VLOOKUP($A60,'START HERE'!$A$13:$E$36,5,0),21)='Auto Responses'!$A$32,'Auto Responses'!$A$33,VLOOKUP($A60,'START HERE'!$A$13:$E$36,4,0))&amp;""</f>
        <v/>
      </c>
      <c r="E60" s="194" t="str">
        <f>VLOOKUP($A60,'START HERE'!$A$13:$E$36,5,0)&amp;""</f>
        <v/>
      </c>
      <c r="F60" s="195"/>
      <c r="G60" s="196" t="str">
        <f>VLOOKUP($A60,Questions!$A$2:$X$333,21,0)&amp;""</f>
        <v>Not scored</v>
      </c>
      <c r="H60" s="197"/>
      <c r="I60" s="198" t="str">
        <f>VLOOKUP($A60,Questions!$A$2:$X$333,23,0)&amp;""</f>
        <v/>
      </c>
      <c r="J60" s="197"/>
      <c r="K60" s="199"/>
      <c r="L60" s="100"/>
      <c r="M60" s="3"/>
    </row>
    <row r="61" spans="1:13" s="189" customFormat="1" ht="15" customHeight="1" x14ac:dyDescent="0.15">
      <c r="A61" s="36" t="str">
        <f>'START HERE'!$A$18</f>
        <v>GNRL-06</v>
      </c>
      <c r="B61" s="37" t="str">
        <f>VLOOKUP($A61,'START HERE'!$A$13:$E$36,2,0)&amp;""</f>
        <v>Solution Provider Contact Email</v>
      </c>
      <c r="C61" s="192" t="str">
        <f>VLOOKUP($A61,'START HERE'!$A$13:$E$36,3,0)&amp;""</f>
        <v>s.wende@smartpls.gmbh</v>
      </c>
      <c r="D61" s="193" t="str">
        <f>IF(LEFT(VLOOKUP($A61,'START HERE'!$A$13:$E$36,5,0),21)='Auto Responses'!$A$32,'Auto Responses'!$A$33,VLOOKUP($A61,'START HERE'!$A$13:$E$36,4,0))&amp;""</f>
        <v/>
      </c>
      <c r="E61" s="194" t="str">
        <f>VLOOKUP($A61,'START HERE'!$A$13:$E$36,5,0)&amp;""</f>
        <v/>
      </c>
      <c r="F61" s="195"/>
      <c r="G61" s="196" t="str">
        <f>VLOOKUP($A61,Questions!$A$2:$X$333,21,0)&amp;""</f>
        <v>Not scored</v>
      </c>
      <c r="H61" s="197"/>
      <c r="I61" s="198" t="str">
        <f>VLOOKUP($A61,Questions!$A$2:$X$333,23,0)&amp;""</f>
        <v/>
      </c>
      <c r="J61" s="197"/>
      <c r="K61" s="199"/>
      <c r="L61" s="100"/>
      <c r="M61" s="3"/>
    </row>
    <row r="62" spans="1:13" s="189" customFormat="1" ht="15" customHeight="1" x14ac:dyDescent="0.15">
      <c r="A62" s="36" t="str">
        <f>'START HERE'!$A$19</f>
        <v>GNRL-07</v>
      </c>
      <c r="B62" s="37" t="str">
        <f>VLOOKUP($A62,'START HERE'!$A$13:$E$36,2,0)&amp;""</f>
        <v>Solution Provider Contact Phone Number</v>
      </c>
      <c r="C62" s="192" t="str">
        <f>VLOOKUP($A62,'START HERE'!$A$13:$E$36,3,0)&amp;""</f>
        <v>+49 02173 2643460</v>
      </c>
      <c r="D62" s="193" t="str">
        <f>IF(LEFT(VLOOKUP($A62,'START HERE'!$A$13:$E$36,5,0),21)='Auto Responses'!$A$32,'Auto Responses'!$A$33,VLOOKUP($A62,'START HERE'!$A$13:$E$36,4,0))&amp;""</f>
        <v/>
      </c>
      <c r="E62" s="194" t="str">
        <f>VLOOKUP($A62,'START HERE'!$A$13:$E$36,5,0)&amp;""</f>
        <v/>
      </c>
      <c r="F62" s="195"/>
      <c r="G62" s="196" t="str">
        <f>VLOOKUP($A62,Questions!$A$2:$X$333,21,0)&amp;""</f>
        <v>Not scored</v>
      </c>
      <c r="H62" s="197"/>
      <c r="I62" s="198" t="str">
        <f>VLOOKUP($A62,Questions!$A$2:$X$333,23,0)&amp;""</f>
        <v/>
      </c>
      <c r="J62" s="197"/>
      <c r="K62" s="199"/>
      <c r="L62" s="100"/>
      <c r="M62" s="3"/>
    </row>
    <row r="63" spans="1:13" s="189" customFormat="1" ht="15" customHeight="1" x14ac:dyDescent="0.15">
      <c r="A63" s="36" t="str">
        <f>'START HERE'!$A$20</f>
        <v>GNRL-08</v>
      </c>
      <c r="B63" s="37" t="str">
        <f>VLOOKUP($A63,'START HERE'!$A$13:$E$36,2,0)&amp;""</f>
        <v>Country of Company Headquarters</v>
      </c>
      <c r="C63" s="192" t="str">
        <f>VLOOKUP($A63,'START HERE'!$A$13:$E$36,3,0)&amp;""</f>
        <v>Germany</v>
      </c>
      <c r="D63" s="193" t="str">
        <f>IF(LEFT(VLOOKUP($A63,'START HERE'!$A$13:$E$36,5,0),21)='Auto Responses'!$A$32,'Auto Responses'!$A$33,VLOOKUP($A63,'START HERE'!$A$13:$E$36,4,0))&amp;""</f>
        <v/>
      </c>
      <c r="E63" s="194" t="str">
        <f>VLOOKUP($A63,'START HERE'!$A$13:$E$36,5,0)&amp;""</f>
        <v/>
      </c>
      <c r="F63" s="195"/>
      <c r="G63" s="196" t="str">
        <f>VLOOKUP($A63,Questions!$A$2:$X$333,21,0)&amp;""</f>
        <v>Not scored</v>
      </c>
      <c r="H63" s="197"/>
      <c r="I63" s="198" t="str">
        <f>VLOOKUP($A63,Questions!$A$2:$X$333,23,0)&amp;""</f>
        <v/>
      </c>
      <c r="J63" s="197"/>
      <c r="K63" s="199"/>
      <c r="L63" s="100"/>
      <c r="M63" s="3"/>
    </row>
    <row r="64" spans="1:13" s="189" customFormat="1" ht="15" customHeight="1" x14ac:dyDescent="0.15">
      <c r="A64" s="36" t="str">
        <f>'START HERE'!$A$21</f>
        <v>GNRL-09</v>
      </c>
      <c r="B64" s="37" t="str">
        <f>VLOOKUP($A64,'START HERE'!$A$13:$E$36,2,0)&amp;""</f>
        <v>Employee Work Locations (all)</v>
      </c>
      <c r="C64" s="192" t="str">
        <f>VLOOKUP($A64,'START HERE'!$A$13:$E$36,3,0)&amp;""</f>
        <v>Germany, Norway</v>
      </c>
      <c r="D64" s="193" t="str">
        <f>IF(LEFT(VLOOKUP($A64,'START HERE'!$A$13:$E$36,5,0),21)='Auto Responses'!$A$32,'Auto Responses'!$A$33,VLOOKUP($A64,'START HERE'!$A$13:$E$36,4,0))&amp;""</f>
        <v/>
      </c>
      <c r="E64" s="194" t="str">
        <f>VLOOKUP($A64,'START HERE'!$A$13:$E$36,5,0)&amp;""</f>
        <v/>
      </c>
      <c r="F64" s="195"/>
      <c r="G64" s="196" t="str">
        <f>VLOOKUP($A64,Questions!$A$2:$X$333,21,0)&amp;""</f>
        <v>Not scored</v>
      </c>
      <c r="H64" s="197"/>
      <c r="I64" s="198" t="str">
        <f>VLOOKUP($A64,Questions!$A$2:$X$333,23,0)&amp;""</f>
        <v/>
      </c>
      <c r="J64" s="197"/>
      <c r="K64" s="199"/>
      <c r="L64" s="100"/>
      <c r="M64" s="3"/>
    </row>
    <row r="65" spans="1:13" s="3" customFormat="1" ht="17.25" customHeight="1" x14ac:dyDescent="0.15">
      <c r="A65" s="32" t="str">
        <f>VLOOKUP(LEFT($A66,4),'Auto Responses'!$N$4:$O$38,2,0)&amp;""</f>
        <v xml:space="preserve"> Company Information</v>
      </c>
      <c r="B65" s="41"/>
      <c r="C65" s="42"/>
      <c r="D65" s="42"/>
      <c r="E65" s="190"/>
      <c r="F65" s="191" t="s">
        <v>468</v>
      </c>
      <c r="G65" s="200" t="s">
        <v>463</v>
      </c>
      <c r="H65" s="200" t="s">
        <v>464</v>
      </c>
      <c r="I65" s="200" t="s">
        <v>465</v>
      </c>
      <c r="J65" s="200" t="s">
        <v>466</v>
      </c>
      <c r="K65" s="200" t="s">
        <v>467</v>
      </c>
      <c r="L65" s="100"/>
    </row>
    <row r="66" spans="1:13" s="189" customFormat="1" ht="27" customHeight="1" x14ac:dyDescent="0.15">
      <c r="A66" s="36" t="str">
        <f>'START HERE'!$A$23</f>
        <v>COMP-01</v>
      </c>
      <c r="B66" s="37" t="str">
        <f>VLOOKUP($A66,'START HERE'!$A$13:$E$36,2,0)&amp;""</f>
        <v>Do you have a dedicated software and system development team(s) (e.g., customer support, implementation, product management, etc.)?*</v>
      </c>
      <c r="C66" s="198" t="str">
        <f>VLOOKUP($A66,'START HERE'!$A$13:$E$36,3,0)&amp;""</f>
        <v>No</v>
      </c>
      <c r="D66" s="70" t="str">
        <f>IF(LEFT(VLOOKUP($A66,'START HERE'!$A$13:$E$36,5,0),21)='Auto Responses'!$A$32,'Auto Responses'!$A$33,VLOOKUP($A66,'START HERE'!$A$13:$E$36,4,0))&amp;""</f>
        <v/>
      </c>
      <c r="E66" s="201" t="str">
        <f>VLOOKUP($A66,'START HERE'!$A$13:$E$36,5,0)&amp;""</f>
        <v>Describe any plans to create a dedicated software and system development team.</v>
      </c>
      <c r="F66" s="195"/>
      <c r="G66" s="196" t="str">
        <f>VLOOKUP($A66,Questions!$A$2:$X$333,21,0)&amp;""</f>
        <v>Yes</v>
      </c>
      <c r="H66" s="197"/>
      <c r="I66" s="198" t="str">
        <f>VLOOKUP($A66,Questions!$A$2:$X$333,23,0)&amp;""</f>
        <v>Standard Importance</v>
      </c>
      <c r="J66" s="197"/>
      <c r="K66" s="199" t="b">
        <f>FALSE()</f>
        <v>0</v>
      </c>
      <c r="L66" s="100"/>
      <c r="M66" s="3"/>
    </row>
    <row r="67" spans="1:13" s="189" customFormat="1" ht="75" customHeight="1" x14ac:dyDescent="0.15">
      <c r="A67" s="36" t="str">
        <f>'START HERE'!$A$24</f>
        <v>COMP-02</v>
      </c>
      <c r="B67" s="37" t="str">
        <f>VLOOKUP($A67,'START HERE'!$A$13:$E$36,2,0)&amp;""</f>
        <v>Describe your organization’s business background and ownership structure, including all parent and subsidiary relationships.</v>
      </c>
      <c r="C67" s="202" t="str">
        <f>VLOOKUP($A67,'START HERE'!$A$13:$E$36,3,0)&amp;""</f>
        <v>SmartPLS GmbH is a privately held, founder-owned German Gesellschaft mit beschränkter Haftung (GmbH), headquartered in Bönningstedt, Germany. It has three shareholders, who are also its only personnel (two based in Germany, one in Norway). SmartPLS GmbH has no parent company and no subsidiaries.</v>
      </c>
      <c r="D67" s="193" t="str">
        <f>IF(LEFT(VLOOKUP($A67,'START HERE'!$A$13:$E$36,5,0),21)='Auto Responses'!$A$32,'Auto Responses'!$A$33,VLOOKUP($A67,'START HERE'!$A$13:$E$36,4,0))&amp;""</f>
        <v/>
      </c>
      <c r="E67" s="201" t="str">
        <f>VLOOKUP($A67,'START HERE'!$A$13:$E$36,5,0)&amp;""</f>
        <v>Include circumstances that may involve offshoring or multinational agreements.</v>
      </c>
      <c r="F67" s="195"/>
      <c r="G67" s="196" t="str">
        <f>VLOOKUP($A67,Questions!$A$2:$X$333,21,0)&amp;""</f>
        <v>Not scored</v>
      </c>
      <c r="H67" s="197"/>
      <c r="I67" s="198" t="str">
        <f>VLOOKUP($A67,Questions!$A$2:$X$333,23,0)&amp;""</f>
        <v/>
      </c>
      <c r="J67" s="197"/>
      <c r="K67" s="199" t="b">
        <f>FALSE()</f>
        <v>0</v>
      </c>
      <c r="L67" s="100"/>
      <c r="M67" s="3"/>
    </row>
    <row r="68" spans="1:13" s="189" customFormat="1" ht="27" customHeight="1" x14ac:dyDescent="0.15">
      <c r="A68" s="36" t="str">
        <f>'START HERE'!$A$25</f>
        <v>COMP-03</v>
      </c>
      <c r="B68" s="37" t="str">
        <f>VLOOKUP($A68,'START HERE'!$A$13:$E$36,2,0)&amp;""</f>
        <v>Have you operated without unplanned disruptions to this solution in the past 12 months?</v>
      </c>
      <c r="C68" s="198" t="str">
        <f>VLOOKUP($A68,'START HERE'!$A$13:$E$36,3,0)&amp;""</f>
        <v>Yes</v>
      </c>
      <c r="D68" s="70" t="str">
        <f>IF(LEFT(VLOOKUP($A68,'START HERE'!$A$13:$E$36,5,0),21)='Auto Responses'!$A$32,'Auto Responses'!$A$33,VLOOKUP($A68,'START HERE'!$A$13:$E$36,4,0))&amp;""</f>
        <v>No unplanned disruptions to the SmartPLS Desktop software or license service in the past 12 months.</v>
      </c>
      <c r="E68" s="201" t="str">
        <f>VLOOKUP($A68,'START HERE'!$A$13:$E$36,5,0)&amp;""</f>
        <v/>
      </c>
      <c r="F68" s="195"/>
      <c r="G68" s="196" t="str">
        <f>VLOOKUP($A68,Questions!$A$2:$X$333,21,0)&amp;""</f>
        <v>Yes</v>
      </c>
      <c r="H68" s="197"/>
      <c r="I68" s="198" t="str">
        <f>VLOOKUP($A68,Questions!$A$2:$X$333,23,0)&amp;""</f>
        <v>Minor Importance</v>
      </c>
      <c r="J68" s="197"/>
      <c r="K68" s="199" t="b">
        <f>FALSE()</f>
        <v>0</v>
      </c>
      <c r="L68" s="100"/>
      <c r="M68" s="3"/>
    </row>
    <row r="69" spans="1:13" s="189" customFormat="1" ht="15" customHeight="1" x14ac:dyDescent="0.15">
      <c r="A69" s="36" t="str">
        <f>'START HERE'!$A$26</f>
        <v>COMP-04</v>
      </c>
      <c r="B69" s="37" t="str">
        <f>VLOOKUP($A69,'START HERE'!$A$13:$E$36,2,0)&amp;""</f>
        <v>Do you have a dedicated information security staff or office?</v>
      </c>
      <c r="C69" s="198" t="str">
        <f>VLOOKUP($A69,'START HERE'!$A$13:$E$36,3,0)&amp;""</f>
        <v>No</v>
      </c>
      <c r="D69" s="70" t="str">
        <f>IF(LEFT(VLOOKUP($A69,'START HERE'!$A$13:$E$36,5,0),21)='Auto Responses'!$A$32,'Auto Responses'!$A$33,VLOOKUP($A69,'START HERE'!$A$13:$E$36,4,0))&amp;""</f>
        <v/>
      </c>
      <c r="E69" s="201" t="str">
        <f>VLOOKUP($A69,'START HERE'!$A$13:$E$36,5,0)&amp;""</f>
        <v>Describe any plans to create an information security office for your organization.</v>
      </c>
      <c r="F69" s="195"/>
      <c r="G69" s="196" t="str">
        <f>VLOOKUP($A69,Questions!$A$2:$X$333,21,0)&amp;""</f>
        <v>Yes</v>
      </c>
      <c r="H69" s="197"/>
      <c r="I69" s="198" t="str">
        <f>VLOOKUP($A69,Questions!$A$2:$X$333,23,0)&amp;""</f>
        <v>Minor Importance</v>
      </c>
      <c r="J69" s="197"/>
      <c r="K69" s="199" t="b">
        <f>FALSE()</f>
        <v>0</v>
      </c>
      <c r="L69" s="100"/>
      <c r="M69" s="3"/>
    </row>
    <row r="70" spans="1:13" s="189" customFormat="1" ht="60" customHeight="1" x14ac:dyDescent="0.15">
      <c r="A70" s="36" t="str">
        <f>'START HERE'!$A$27</f>
        <v>COMP-05</v>
      </c>
      <c r="B70" s="37" t="str">
        <f>VLOOKUP($A70,'START HERE'!$A$13:$E$36,2,0)&amp;""</f>
        <v>Use this area to share information about your environment that will assist those who are assessing your company's data security program.</v>
      </c>
      <c r="C70" s="202" t="str">
        <f>VLOOKUP($A70,'START HERE'!$A$13:$E$36,3,0)&amp;""</f>
        <v>SmartPLS Desktop is a locally installed application: customer research data is created, processed, and stored entirely on the customer’s own device and is never transmitted to or accessible by SmartPLS. The only data SmartPLS GmbH itself handles are (a) license administration data (name, email, institution), processed via our licensing provider Nalpeiron; (b) optional, anonymized usage/crash telemetry received on our own EU-hosted servers (Domainfactory and Strato); and (c) payment data, which is handled entirely by our payment service provider, Adyen, and never touches SmartPLS systems.</v>
      </c>
      <c r="D70" s="193" t="str">
        <f>IF(LEFT(VLOOKUP($A70,'START HERE'!$A$13:$E$36,5,0),21)='Auto Responses'!$A$32,'Auto Responses'!$A$33,VLOOKUP($A70,'START HERE'!$A$13:$E$36,4,0))&amp;""</f>
        <v/>
      </c>
      <c r="E70" s="201" t="str">
        <f>VLOOKUP($A70,'START HERE'!$A$13:$E$36,5,0)&amp;""</f>
        <v>Share any details that would help information security analysts assess your solution.</v>
      </c>
      <c r="F70" s="195"/>
      <c r="G70" s="196" t="str">
        <f>VLOOKUP($A70,Questions!$A$2:$X$333,21,0)&amp;""</f>
        <v>Not scored</v>
      </c>
      <c r="H70" s="197"/>
      <c r="I70" s="198" t="s">
        <v>469</v>
      </c>
      <c r="J70" s="197"/>
      <c r="K70" s="199" t="b">
        <f>FALSE()</f>
        <v>0</v>
      </c>
      <c r="L70" s="100"/>
      <c r="M70" s="3"/>
    </row>
    <row r="71" spans="1:13" s="3" customFormat="1" ht="18" customHeight="1" x14ac:dyDescent="0.15">
      <c r="A71" s="32" t="str">
        <f>VLOOKUP(LEFT($A72,4),'Auto Responses'!$N$4:$O$38,2,0)&amp;""</f>
        <v xml:space="preserve"> Required Questions</v>
      </c>
      <c r="B71" s="41"/>
      <c r="C71" s="42"/>
      <c r="D71" s="42"/>
      <c r="E71" s="203"/>
      <c r="F71" s="191" t="s">
        <v>468</v>
      </c>
      <c r="G71" s="200" t="s">
        <v>463</v>
      </c>
      <c r="H71" s="200" t="s">
        <v>464</v>
      </c>
      <c r="I71" s="200" t="s">
        <v>465</v>
      </c>
      <c r="J71" s="200" t="s">
        <v>466</v>
      </c>
      <c r="K71" s="200" t="s">
        <v>467</v>
      </c>
      <c r="L71" s="100"/>
    </row>
    <row r="72" spans="1:13" s="189" customFormat="1" ht="75" customHeight="1" x14ac:dyDescent="0.15">
      <c r="A72" s="36" t="str">
        <f>'START HERE'!$A$29</f>
        <v>REQU-01</v>
      </c>
      <c r="B72" s="37" t="str">
        <f>VLOOKUP($A72,'START HERE'!$A$13:$E$36,2,0)&amp;""</f>
        <v>Are you offering a cloud-based product?</v>
      </c>
      <c r="C72" s="198" t="str">
        <f>VLOOKUP($A72,'START HERE'!$A$13:$E$36,3,0)&amp;""</f>
        <v>No</v>
      </c>
      <c r="D72" s="70" t="str">
        <f>IF(LEFT(VLOOKUP($A72,'START HERE'!$A$13:$E$36,5,0),21)='Auto Responses'!$A$32,'Auto Responses'!$A$33,VLOOKUP($A72,'START HERE'!$A$13:$E$36,4,0))&amp;""</f>
        <v>SmartPLS is a locally installed Java application; it is not a cloud-hosted product.</v>
      </c>
      <c r="E72" s="204" t="str">
        <f>VLOOKUP($A72,'START HERE'!$A$13:$E$36,5,0)&amp;""</f>
        <v>DO NOT complete the Product and Infrastructure worksheets</v>
      </c>
      <c r="F72" s="205"/>
      <c r="G72" s="196" t="str">
        <f>VLOOKUP($A72,Questions!$A$2:$X$333,21,0)&amp;""</f>
        <v>Not scored</v>
      </c>
      <c r="H72" s="197"/>
      <c r="I72" s="198" t="str">
        <f>VLOOKUP($A72,Questions!$A$2:$X$333,23,0)&amp;""</f>
        <v/>
      </c>
      <c r="J72" s="197"/>
      <c r="K72" s="206" t="b">
        <f>FALSE()</f>
        <v>0</v>
      </c>
      <c r="L72" s="100"/>
      <c r="M72" s="3"/>
    </row>
    <row r="73" spans="1:13" s="189" customFormat="1" ht="75" customHeight="1" x14ac:dyDescent="0.15">
      <c r="A73" s="36" t="str">
        <f>'START HERE'!$A$30</f>
        <v>REQU-02</v>
      </c>
      <c r="B73" s="37" t="str">
        <f>VLOOKUP($A73,'START HERE'!$A$13:$E$36,2,0)&amp;""</f>
        <v>Does your product or service have an interface?</v>
      </c>
      <c r="C73" s="198" t="str">
        <f>VLOOKUP($A73,'START HERE'!$A$13:$E$36,3,0)&amp;""</f>
        <v>Yes</v>
      </c>
      <c r="D73" s="70" t="str">
        <f>IF(LEFT(VLOOKUP($A73,'START HERE'!$A$13:$E$36,5,0),21)='Auto Responses'!$A$32,'Auto Responses'!$A$33,VLOOKUP($A73,'START HERE'!$A$13:$E$36,4,0))&amp;""</f>
        <v>SmartPLS Desktop has a graphical user interface.</v>
      </c>
      <c r="E73" s="204" t="str">
        <f>VLOOKUP($A73,'START HERE'!$A$13:$E$36,5,0)&amp;""</f>
        <v>DO complete the IT Accessibility worksheet.</v>
      </c>
      <c r="F73" s="207"/>
      <c r="G73" s="196" t="str">
        <f>VLOOKUP($A73,Questions!$A$2:$X$333,21,0)&amp;""</f>
        <v>Not scored</v>
      </c>
      <c r="H73" s="197"/>
      <c r="I73" s="198" t="str">
        <f>VLOOKUP($A73,Questions!$A$2:$X$333,23,0)&amp;""</f>
        <v/>
      </c>
      <c r="J73" s="197"/>
      <c r="K73" s="199" t="b">
        <f>FALSE()</f>
        <v>0</v>
      </c>
      <c r="L73" s="100"/>
      <c r="M73" s="3"/>
    </row>
    <row r="74" spans="1:13" s="189" customFormat="1" ht="15" customHeight="1" x14ac:dyDescent="0.15">
      <c r="A74" s="36" t="str">
        <f>'START HERE'!$A$31</f>
        <v>REQU-03</v>
      </c>
      <c r="B74" s="37" t="str">
        <f>VLOOKUP($A74,'START HERE'!$A$13:$E$36,2,0)&amp;""</f>
        <v>Are you providing consulting services?</v>
      </c>
      <c r="C74" s="198" t="str">
        <f>VLOOKUP($A74,'START HERE'!$A$13:$E$36,3,0)&amp;""</f>
        <v>No</v>
      </c>
      <c r="D74" s="70" t="str">
        <f>IF(LEFT(VLOOKUP($A74,'START HERE'!$A$13:$E$36,5,0),21)='Auto Responses'!$A$32,'Auto Responses'!$A$33,VLOOKUP($A74,'START HERE'!$A$13:$E$36,4,0))&amp;""</f>
        <v>SmartPLS does not provide consulting services as part of this engagement.</v>
      </c>
      <c r="E74" s="204" t="str">
        <f>VLOOKUP($A74,'START HERE'!$A$13:$E$36,5,0)&amp;""</f>
        <v>DO NOT complete the Consulting section in the Case-Specific worksheet</v>
      </c>
      <c r="F74" s="207"/>
      <c r="G74" s="196" t="str">
        <f>VLOOKUP($A74,Questions!$A$2:$X$333,21,0)&amp;""</f>
        <v>Not scored</v>
      </c>
      <c r="H74" s="197"/>
      <c r="I74" s="198" t="str">
        <f>VLOOKUP($A74,Questions!$A$2:$X$333,23,0)&amp;""</f>
        <v/>
      </c>
      <c r="J74" s="197"/>
      <c r="K74" s="199" t="b">
        <f>FALSE()</f>
        <v>0</v>
      </c>
      <c r="L74" s="100"/>
      <c r="M74" s="3"/>
    </row>
    <row r="75" spans="1:13" s="189" customFormat="1" ht="27" customHeight="1" x14ac:dyDescent="0.15">
      <c r="A75" s="36" t="str">
        <f>'START HERE'!$A$32</f>
        <v>REQU-04</v>
      </c>
      <c r="B75" s="37" t="str">
        <f>VLOOKUP($A75,'START HERE'!$A$13:$E$36,2,0)&amp;""</f>
        <v>Does your solution have AI features, or are there plans to implement AI features in the next 12 months?</v>
      </c>
      <c r="C75" s="198" t="str">
        <f>VLOOKUP($A75,'START HERE'!$A$13:$E$36,3,0)&amp;""</f>
        <v>No</v>
      </c>
      <c r="D75" s="70" t="str">
        <f>IF(LEFT(VLOOKUP($A75,'START HERE'!$A$13:$E$36,5,0),21)='Auto Responses'!$A$32,'Auto Responses'!$A$33,VLOOKUP($A75,'START HERE'!$A$13:$E$36,4,0))&amp;""</f>
        <v>SmartPLS Desktop has no AI or machine-learning features, and none are planned in the next 12 months.</v>
      </c>
      <c r="E75" s="204" t="str">
        <f>VLOOKUP($A75,'START HERE'!$A$13:$E$36,5,0)&amp;""</f>
        <v>DO NOT complete the Artificial Intelligence (AI) worksheet</v>
      </c>
      <c r="F75" s="207"/>
      <c r="G75" s="196" t="str">
        <f>VLOOKUP($A75,Questions!$A$2:$X$333,21,0)&amp;""</f>
        <v>Not scored</v>
      </c>
      <c r="H75" s="197"/>
      <c r="I75" s="198" t="str">
        <f>VLOOKUP($A75,Questions!$A$2:$X$333,23,0)&amp;""</f>
        <v/>
      </c>
      <c r="J75" s="197"/>
      <c r="K75" s="199" t="b">
        <f>FALSE()</f>
        <v>0</v>
      </c>
      <c r="L75" s="100"/>
      <c r="M75" s="3"/>
    </row>
    <row r="76" spans="1:13" s="189" customFormat="1" ht="90" customHeight="1" x14ac:dyDescent="0.15">
      <c r="A76" s="36" t="str">
        <f>'START HERE'!$A$33</f>
        <v>REQU-05</v>
      </c>
      <c r="B76" s="37" t="str">
        <f>VLOOKUP($A76,'START HERE'!$A$13:$E$36,2,0)&amp;""</f>
        <v>Does your solution process protected health information (PHI) or any data covered by the Health Insurance Portability and Accountability Act (HIPAA)?</v>
      </c>
      <c r="C76" s="198" t="str">
        <f>VLOOKUP($A76,'START HERE'!$A$13:$E$36,3,0)&amp;""</f>
        <v>No</v>
      </c>
      <c r="D76" s="70" t="str">
        <f>IF(LEFT(VLOOKUP($A76,'START HERE'!$A$13:$E$36,5,0),21)='Auto Responses'!$A$32,'Auto Responses'!$A$33,VLOOKUP($A76,'START HERE'!$A$13:$E$36,4,0))&amp;""</f>
        <v>SmartPLS does not process protected health information or other HIPAA-covered data.</v>
      </c>
      <c r="E76" s="204" t="str">
        <f>VLOOKUP($A76,'START HERE'!$A$13:$E$36,5,0)&amp;""</f>
        <v>DO NOT complete the HIPAA section in the Case-Specific worksheet</v>
      </c>
      <c r="F76" s="207"/>
      <c r="G76" s="196" t="str">
        <f>VLOOKUP($A76,Questions!$A$2:$X$333,21,0)&amp;""</f>
        <v>Not scored</v>
      </c>
      <c r="H76" s="197"/>
      <c r="I76" s="198" t="str">
        <f>VLOOKUP($A76,Questions!$A$2:$X$333,23,0)&amp;""</f>
        <v/>
      </c>
      <c r="J76" s="197"/>
      <c r="K76" s="199" t="b">
        <f>FALSE()</f>
        <v>0</v>
      </c>
      <c r="L76" s="100"/>
      <c r="M76" s="3"/>
    </row>
    <row r="77" spans="1:13" s="189" customFormat="1" ht="90" customHeight="1" x14ac:dyDescent="0.15">
      <c r="A77" s="36" t="str">
        <f>'START HERE'!$A$34</f>
        <v>REQU-06</v>
      </c>
      <c r="B77" s="37" t="str">
        <f>VLOOKUP($A77,'START HERE'!$A$13:$E$36,2,0)&amp;""</f>
        <v>Is the solution designed to process, store, or transmit credit card information?</v>
      </c>
      <c r="C77" s="198" t="str">
        <f>VLOOKUP($A77,'START HERE'!$A$13:$E$36,3,0)&amp;""</f>
        <v>No</v>
      </c>
      <c r="D77" s="70" t="str">
        <f>IF(LEFT(VLOOKUP($A77,'START HERE'!$A$13:$E$36,5,0),21)='Auto Responses'!$A$32,'Auto Responses'!$A$33,VLOOKUP($A77,'START HERE'!$A$13:$E$36,4,0))&amp;""</f>
        <v>License purchases are processed by our payment service provider, Adyen; SmartPLS does not itself store, process, or transmit cardholder data.</v>
      </c>
      <c r="E77" s="204" t="str">
        <f>VLOOKUP($A77,'START HERE'!$A$13:$E$36,5,0)&amp;""</f>
        <v>DO NOT complete the PCI-DSS section in the Case-Specific worksheet</v>
      </c>
      <c r="F77" s="207"/>
      <c r="G77" s="196" t="str">
        <f>VLOOKUP($A77,Questions!$A$2:$X$333,21,0)&amp;""</f>
        <v>Not scored</v>
      </c>
      <c r="H77" s="197"/>
      <c r="I77" s="198" t="str">
        <f>VLOOKUP($A77,Questions!$A$2:$X$333,23,0)&amp;""</f>
        <v/>
      </c>
      <c r="J77" s="197"/>
      <c r="K77" s="199" t="b">
        <f>FALSE()</f>
        <v>0</v>
      </c>
      <c r="L77" s="100"/>
      <c r="M77" s="3"/>
    </row>
    <row r="78" spans="1:13" s="189" customFormat="1" ht="54" customHeight="1" x14ac:dyDescent="0.15">
      <c r="A78" s="36" t="str">
        <f>'START HERE'!$A$35</f>
        <v>REQU-07</v>
      </c>
      <c r="B78" s="37"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198" t="str">
        <f>VLOOKUP($A78,'START HERE'!$A$13:$E$36,3,0)&amp;""</f>
        <v>No</v>
      </c>
      <c r="D78" s="70" t="str">
        <f>IF(LEFT(VLOOKUP($A78,'START HERE'!$A$13:$E$36,5,0),21)='Auto Responses'!$A$32,'Auto Responses'!$A$33,VLOOKUP($A78,'START HERE'!$A$13:$E$36,4,0))&amp;""</f>
        <v>SmartPLS Desktop requires no institution-hosted appliance and no inbound firewall exceptions for remote administration.</v>
      </c>
      <c r="E78" s="204" t="str">
        <f>VLOOKUP($A78,'START HERE'!$A$13:$E$36,5,0)&amp;""</f>
        <v>DO NOT complete the On-Prem section in the Case-Specific worksheet</v>
      </c>
      <c r="F78" s="207"/>
      <c r="G78" s="196" t="str">
        <f>VLOOKUP($A78,Questions!$A$2:$X$333,21,0)&amp;""</f>
        <v>Not scored</v>
      </c>
      <c r="H78" s="197"/>
      <c r="I78" s="198" t="str">
        <f>VLOOKUP($A78,Questions!$A$2:$X$333,23,0)&amp;""</f>
        <v/>
      </c>
      <c r="J78" s="197"/>
      <c r="K78" s="199" t="b">
        <f>FALSE()</f>
        <v>0</v>
      </c>
      <c r="L78" s="100"/>
      <c r="M78" s="3"/>
    </row>
    <row r="79" spans="1:13" s="189" customFormat="1" ht="75" customHeight="1" x14ac:dyDescent="0.15">
      <c r="A79" s="36" t="str">
        <f>'START HERE'!$A$36</f>
        <v>REQU-08</v>
      </c>
      <c r="B79" s="37" t="str">
        <f>VLOOKUP($A79,'START HERE'!$A$13:$E$36,2,0)&amp;""</f>
        <v>Does your solution have access to personal or institutional data?</v>
      </c>
      <c r="C79" s="198" t="str">
        <f>VLOOKUP($A79,'START HERE'!$A$13:$E$36,3,0)&amp;""</f>
        <v>Yes</v>
      </c>
      <c r="D79" s="70" t="str">
        <f>IF(LEFT(VLOOKUP($A79,'START HERE'!$A$13:$E$36,5,0),21)='Auto Responses'!$A$32,'Auto Responses'!$A$33,VLOOKUP($A79,'START HERE'!$A$13:$E$36,4,0))&amp;""</f>
        <v>SmartPLS has access to limited personal data used for license administration (name, email, institution) and optional anonymized usage/crash telemetry. It does not have access to institutional research data, which remains on the customer’s own device at all times.</v>
      </c>
      <c r="E79" s="204" t="str">
        <f>VLOOKUP($A79,'START HERE'!$A$13:$E$36,5,0)&amp;""</f>
        <v>DO complete the Privacy tab</v>
      </c>
      <c r="F79" s="208"/>
      <c r="G79" s="196" t="str">
        <f>VLOOKUP($A79,Questions!$A$2:$X$333,21,0)&amp;""</f>
        <v>Not scored</v>
      </c>
      <c r="H79" s="197"/>
      <c r="I79" s="198" t="str">
        <f>VLOOKUP($A79,Questions!$A$2:$X$333,23,0)&amp;""</f>
        <v/>
      </c>
      <c r="J79" s="197"/>
      <c r="K79" s="209" t="b">
        <f>FALSE()</f>
        <v>0</v>
      </c>
      <c r="L79" s="100"/>
      <c r="M79" s="3"/>
    </row>
    <row r="80" spans="1:13" s="3" customFormat="1" ht="17.25" customHeight="1" x14ac:dyDescent="0.15">
      <c r="A80" s="32" t="str">
        <f>VLOOKUP(LEFT($A81,4),'Auto Responses'!$N$4:$O$38,2,0)&amp;""</f>
        <v xml:space="preserve"> Documentation</v>
      </c>
      <c r="B80" s="41"/>
      <c r="C80" s="42"/>
      <c r="D80" s="42"/>
      <c r="E80" s="203"/>
      <c r="F80" s="191" t="s">
        <v>468</v>
      </c>
      <c r="G80" s="200" t="s">
        <v>463</v>
      </c>
      <c r="H80" s="200" t="s">
        <v>464</v>
      </c>
      <c r="I80" s="200" t="s">
        <v>465</v>
      </c>
      <c r="J80" s="200" t="s">
        <v>466</v>
      </c>
      <c r="K80" s="200" t="s">
        <v>467</v>
      </c>
    </row>
    <row r="81" spans="1:12" s="189" customFormat="1" ht="27" customHeight="1" x14ac:dyDescent="0.15">
      <c r="A81" s="36" t="str">
        <f>Organization!$A$22</f>
        <v>DOCU-01</v>
      </c>
      <c r="B81" s="37" t="str">
        <f>VLOOKUP($A81,Organization!$A$13:$E$67,2,0)&amp;""</f>
        <v>Do you have a well-documented business continuity plan (BCP), with a clear owner, that is tested annually?*</v>
      </c>
      <c r="C81" s="198" t="str">
        <f>VLOOKUP($A81,Organization!$A$13:$E$67,3,0)&amp;""</f>
        <v>No</v>
      </c>
      <c r="D81" s="70" t="str">
        <f>IF(LEFT(VLOOKUP($A81,Organization!$A$13:$E$67,5,0),21)='Auto Responses'!$A$32,'Auto Responses'!$A$33,VLOOKUP($A81,Organization!$A$13:$E$67,4,0))&amp;""</f>
        <v/>
      </c>
      <c r="E81" s="204" t="str">
        <f>VLOOKUP($A81,Organization!$A$13:$E$67,5,0)&amp;""</f>
        <v/>
      </c>
      <c r="F81" s="210"/>
      <c r="G81" s="196" t="str">
        <f>VLOOKUP($A81,Questions!$A$2:$X$333,21,0)&amp;""</f>
        <v>Yes</v>
      </c>
      <c r="H81" s="197"/>
      <c r="I81" s="198" t="str">
        <f>VLOOKUP($A81,Questions!$A$2:$X$333,23,0)&amp;""</f>
        <v>Critical Importance</v>
      </c>
      <c r="J81" s="197"/>
      <c r="K81" s="199" t="b">
        <f>FALSE()</f>
        <v>0</v>
      </c>
      <c r="L81" s="3"/>
    </row>
    <row r="82" spans="1:12" s="189" customFormat="1" ht="27" customHeight="1" x14ac:dyDescent="0.15">
      <c r="A82" s="36" t="str">
        <f>Organization!$A$23</f>
        <v>DOCU-02</v>
      </c>
      <c r="B82" s="37" t="str">
        <f>VLOOKUP($A82,Organization!$A$13:$E$67,2,0)&amp;""</f>
        <v>Do you have a well-documented disaster recovery plan (DRP), with a clear owner, that is tested annually?*</v>
      </c>
      <c r="C82" s="198" t="str">
        <f>VLOOKUP($A82,Organization!$A$13:$E$67,3,0)&amp;""</f>
        <v>No</v>
      </c>
      <c r="D82" s="70" t="str">
        <f>IF(LEFT(VLOOKUP($A82,Organization!$A$13:$E$67,5,0),21)='Auto Responses'!$A$32,'Auto Responses'!$A$33,VLOOKUP($A82,Organization!$A$13:$E$67,4,0))&amp;""</f>
        <v/>
      </c>
      <c r="E82" s="204" t="str">
        <f>VLOOKUP($A82,Organization!$A$13:$E$67,5,0)&amp;""</f>
        <v/>
      </c>
      <c r="F82" s="210"/>
      <c r="G82" s="196" t="str">
        <f>VLOOKUP($A82,Questions!$A$2:$X$333,21,0)&amp;""</f>
        <v>Yes</v>
      </c>
      <c r="H82" s="197"/>
      <c r="I82" s="198" t="str">
        <f>VLOOKUP($A82,Questions!$A$2:$X$333,23,0)&amp;""</f>
        <v>Critical Importance</v>
      </c>
      <c r="J82" s="197"/>
      <c r="K82" s="199" t="b">
        <f>FALSE()</f>
        <v>0</v>
      </c>
      <c r="L82" s="3"/>
    </row>
    <row r="83" spans="1:12" s="189" customFormat="1" ht="15" customHeight="1" x14ac:dyDescent="0.15">
      <c r="A83" s="36" t="str">
        <f>Organization!$A$24</f>
        <v>DOCU-03</v>
      </c>
      <c r="B83" s="37" t="str">
        <f>VLOOKUP($A83,Organization!$A$13:$E$67,2,0)&amp;""</f>
        <v>Have you undergone a SSAE 18/SOC 2 audit?</v>
      </c>
      <c r="C83" s="198" t="str">
        <f>VLOOKUP($A83,Organization!$A$13:$E$67,3,0)&amp;""</f>
        <v>No</v>
      </c>
      <c r="D83" s="70" t="str">
        <f>IF(LEFT(VLOOKUP($A83,Organization!$A$13:$E$67,5,0),21)='Auto Responses'!$A$32,'Auto Responses'!$A$33,VLOOKUP($A83,Organization!$A$13:$E$67,4,0))&amp;""</f>
        <v/>
      </c>
      <c r="E83" s="204" t="str">
        <f>VLOOKUP($A83,Organization!$A$13:$E$67,5,0)&amp;""</f>
        <v>Describe any plans to undergo a SSAE 18 audit.</v>
      </c>
      <c r="F83" s="210"/>
      <c r="G83" s="196" t="str">
        <f>VLOOKUP($A83,Questions!$A$2:$X$333,21,0)&amp;""</f>
        <v>Yes</v>
      </c>
      <c r="H83" s="197"/>
      <c r="I83" s="198" t="str">
        <f>VLOOKUP($A83,Questions!$A$2:$X$333,23,0)&amp;""</f>
        <v>Standard Importance</v>
      </c>
      <c r="J83" s="197"/>
      <c r="K83" s="199" t="b">
        <f>FALSE()</f>
        <v>0</v>
      </c>
      <c r="L83" s="3"/>
    </row>
    <row r="84" spans="1:12" s="189" customFormat="1" ht="27" customHeight="1" x14ac:dyDescent="0.15">
      <c r="A84" s="36" t="str">
        <f>Organization!$A$25</f>
        <v>DOCU-04</v>
      </c>
      <c r="B84" s="37" t="str">
        <f>VLOOKUP($A84,Organization!$A$13:$E$67,2,0)&amp;""</f>
        <v>Do you conform with a specific industry standard security framework (e.g., NIST Cybersecurity Framework, CIS Controls, ISO 27001, etc.)?</v>
      </c>
      <c r="C84" s="198" t="str">
        <f>VLOOKUP($A84,Organization!$A$13:$E$67,3,0)&amp;""</f>
        <v>No</v>
      </c>
      <c r="D84" s="70" t="str">
        <f>IF(LEFT(VLOOKUP($A84,Organization!$A$13:$E$67,5,0),21)='Auto Responses'!$A$32,'Auto Responses'!$A$33,VLOOKUP($A84,Organization!$A$13:$E$67,4,0))&amp;""</f>
        <v/>
      </c>
      <c r="E84" s="204" t="str">
        <f>VLOOKUP($A84,Organization!$A$13:$E$67,5,0)&amp;""</f>
        <v>Describe any plans to conform to an industry standard security framework.</v>
      </c>
      <c r="F84" s="210"/>
      <c r="G84" s="196" t="str">
        <f>VLOOKUP($A84,Questions!$A$2:$X$333,21,0)&amp;""</f>
        <v>Yes</v>
      </c>
      <c r="H84" s="197"/>
      <c r="I84" s="198" t="str">
        <f>VLOOKUP($A84,Questions!$A$2:$X$333,23,0)&amp;""</f>
        <v>Standard Importance</v>
      </c>
      <c r="J84" s="197"/>
      <c r="K84" s="199" t="b">
        <f>FALSE()</f>
        <v>0</v>
      </c>
      <c r="L84" s="3"/>
    </row>
    <row r="85" spans="1:12" s="189" customFormat="1" ht="40.5" customHeight="1" x14ac:dyDescent="0.15">
      <c r="A85" s="36" t="str">
        <f>Organization!$A$26</f>
        <v>DOCU-05</v>
      </c>
      <c r="B85" s="37" t="str">
        <f>VLOOKUP($A85,Organization!$A$13:$E$67,2,0)&amp;""</f>
        <v>Can you provide overall system and/or application architecture diagrams, including a full description of the data flow for all components of the system?</v>
      </c>
      <c r="C85" s="198" t="str">
        <f>VLOOKUP($A85,Organization!$A$13:$E$67,3,0)&amp;""</f>
        <v>No</v>
      </c>
      <c r="D85" s="70" t="str">
        <f>IF(LEFT(VLOOKUP($A85,Organization!$A$13:$E$67,5,0),21)='Auto Responses'!$A$32,'Auto Responses'!$A$33,VLOOKUP($A85,Organization!$A$13:$E$67,4,0))&amp;""</f>
        <v/>
      </c>
      <c r="E85" s="204" t="str">
        <f>VLOOKUP($A85,Organization!$A$13:$E$67,5,0)&amp;""</f>
        <v>Provide a detailed summary of overall system and/or application architecture.</v>
      </c>
      <c r="F85" s="210"/>
      <c r="G85" s="196" t="str">
        <f>VLOOKUP($A85,Questions!$A$2:$X$333,21,0)&amp;""</f>
        <v>Yes</v>
      </c>
      <c r="H85" s="197"/>
      <c r="I85" s="198" t="str">
        <f>VLOOKUP($A85,Questions!$A$2:$X$333,23,0)&amp;""</f>
        <v>Standard Importance</v>
      </c>
      <c r="J85" s="197"/>
      <c r="K85" s="199" t="b">
        <f>FALSE()</f>
        <v>0</v>
      </c>
      <c r="L85" s="3"/>
    </row>
    <row r="86" spans="1:12" s="189" customFormat="1" ht="15" customHeight="1" x14ac:dyDescent="0.15">
      <c r="A86" s="36" t="str">
        <f>Organization!$A$27</f>
        <v>DOCU-06</v>
      </c>
      <c r="B86" s="37" t="str">
        <f>VLOOKUP($A86,Organization!$A$13:$E$67,2,0)&amp;""</f>
        <v>Does your organization have a data privacy policy?</v>
      </c>
      <c r="C86" s="198" t="str">
        <f>VLOOKUP($A86,Organization!$A$13:$E$67,3,0)&amp;""</f>
        <v>Yes</v>
      </c>
      <c r="D86" s="70" t="str">
        <f>IF(LEFT(VLOOKUP($A86,Organization!$A$13:$E$67,5,0),21)='Auto Responses'!$A$32,'Auto Responses'!$A$33,VLOOKUP($A86,Organization!$A$13:$E$67,4,0))&amp;""</f>
        <v>A data privacy policy/privacy notice is published: https://smartpls.com/privacy/</v>
      </c>
      <c r="E86" s="204" t="str">
        <f>VLOOKUP($A86,Organization!$A$13:$E$67,5,0)&amp;""</f>
        <v>Provide your data privacy document (or a valid link to it) upon submission.</v>
      </c>
      <c r="F86" s="210"/>
      <c r="G86" s="196" t="str">
        <f>VLOOKUP($A86,Questions!$A$2:$X$333,21,0)&amp;""</f>
        <v>Yes</v>
      </c>
      <c r="H86" s="197"/>
      <c r="I86" s="198" t="str">
        <f>VLOOKUP($A86,Questions!$A$2:$X$333,23,0)&amp;""</f>
        <v>Standard Importance</v>
      </c>
      <c r="J86" s="197"/>
      <c r="K86" s="199" t="b">
        <f>FALSE()</f>
        <v>0</v>
      </c>
      <c r="L86" s="3"/>
    </row>
    <row r="87" spans="1:12" s="189" customFormat="1" ht="27" customHeight="1" x14ac:dyDescent="0.15">
      <c r="A87" s="36" t="str">
        <f>Organization!$A$28</f>
        <v>DOCU-07</v>
      </c>
      <c r="B87" s="37" t="str">
        <f>VLOOKUP($A87,Organization!$A$13:$E$67,2,0)&amp;""</f>
        <v>Do you have a documented, and currently implemented, employee onboarding and offboarding policy?</v>
      </c>
      <c r="C87" s="198" t="str">
        <f>VLOOKUP($A87,Organization!$A$13:$E$67,3,0)&amp;""</f>
        <v>No</v>
      </c>
      <c r="D87" s="70" t="str">
        <f>IF(LEFT(VLOOKUP($A87,Organization!$A$13:$E$67,5,0),21)='Auto Responses'!$A$32,'Auto Responses'!$A$33,VLOOKUP($A87,Organization!$A$13:$E$67,4,0))&amp;""</f>
        <v/>
      </c>
      <c r="E87" s="204" t="str">
        <f>VLOOKUP($A87,Organization!$A$13:$E$67,5,0)&amp;""</f>
        <v>Briefly summarize your response.</v>
      </c>
      <c r="F87" s="210"/>
      <c r="G87" s="196" t="str">
        <f>VLOOKUP($A87,Questions!$A$2:$X$333,21,0)&amp;""</f>
        <v>Yes</v>
      </c>
      <c r="H87" s="197"/>
      <c r="I87" s="198" t="str">
        <f>VLOOKUP($A87,Questions!$A$2:$X$333,23,0)&amp;""</f>
        <v>Standard Importance</v>
      </c>
      <c r="J87" s="197"/>
      <c r="K87" s="199" t="b">
        <f>FALSE()</f>
        <v>0</v>
      </c>
      <c r="L87" s="3"/>
    </row>
    <row r="88" spans="1:12" s="3" customFormat="1" ht="17.25" customHeight="1" x14ac:dyDescent="0.15">
      <c r="A88" s="32" t="str">
        <f>VLOOKUP(LEFT($A89,4),'Auto Responses'!$N$4:$O$38,2,0)&amp;""</f>
        <v xml:space="preserve"> Assessment of Third Parties</v>
      </c>
      <c r="B88" s="41"/>
      <c r="C88" s="42"/>
      <c r="D88" s="42"/>
      <c r="E88" s="203"/>
      <c r="F88" s="191" t="s">
        <v>468</v>
      </c>
      <c r="G88" s="200" t="s">
        <v>463</v>
      </c>
      <c r="H88" s="200" t="s">
        <v>464</v>
      </c>
      <c r="I88" s="200" t="s">
        <v>465</v>
      </c>
      <c r="J88" s="200" t="s">
        <v>466</v>
      </c>
      <c r="K88" s="200" t="s">
        <v>467</v>
      </c>
    </row>
    <row r="89" spans="1:12" s="189" customFormat="1" ht="40.5" customHeight="1" x14ac:dyDescent="0.15">
      <c r="A89" s="36" t="str">
        <f>Organization!$A$30</f>
        <v>THRD-01</v>
      </c>
      <c r="B89" s="37" t="str">
        <f>VLOOKUP($A89,Organization!$A$13:$E$67,2,0)&amp;""</f>
        <v>Do you perform security assessments of third-party companies with which you share data (e.g., hosting providers, cloud services, PaaS, IaaS, SaaS)?*</v>
      </c>
      <c r="C89" s="198" t="str">
        <f>VLOOKUP($A89,Organization!$A$13:$E$67,3,0)&amp;""</f>
        <v>No</v>
      </c>
      <c r="D89" s="70" t="str">
        <f>IF(LEFT(VLOOKUP($A89,Organization!$A$13:$E$67,5,0),21)='Auto Responses'!$A$32,'Auto Responses'!$A$33,VLOOKUP($A89,Organization!$A$13:$E$67,4,0))&amp;""</f>
        <v>SmartPLS GmbH selects established providers (Nalpeiron for licensing, Domainfactory and Strato for hosting, Adyen for payments) but does not perform formal, documented security assessments of these third parties given the size of the company.</v>
      </c>
      <c r="E89" s="204" t="str">
        <f>VLOOKUP($A89,Organization!$A$13:$E$67,5,0)&amp;""</f>
        <v>State your plans to perform security assessments of third-party companies.</v>
      </c>
      <c r="F89" s="210"/>
      <c r="G89" s="196" t="str">
        <f>VLOOKUP($A89,Questions!$A$2:$X$333,21,0)&amp;""</f>
        <v>Yes</v>
      </c>
      <c r="H89" s="197"/>
      <c r="I89" s="198" t="str">
        <f>VLOOKUP($A89,Questions!$A$2:$X$333,23,0)&amp;""</f>
        <v>Critical Importance</v>
      </c>
      <c r="J89" s="197"/>
      <c r="K89" s="199" t="b">
        <f>FALSE()</f>
        <v>0</v>
      </c>
      <c r="L89" s="3"/>
    </row>
    <row r="90" spans="1:12" s="189" customFormat="1" ht="90" customHeight="1" x14ac:dyDescent="0.15">
      <c r="A90" s="36" t="str">
        <f>Organization!$A$31</f>
        <v>THRD-02</v>
      </c>
      <c r="B90" s="37" t="str">
        <f>VLOOKUP($A90,Organization!$A$13:$E$67,2,0)&amp;""</f>
        <v>Do you have contractual language in place with third parties governing access to institutional data?*</v>
      </c>
      <c r="C90" s="198" t="str">
        <f>VLOOKUP($A90,Organization!$A$13:$E$67,3,0)&amp;""</f>
        <v>Yes</v>
      </c>
      <c r="D90" s="70" t="str">
        <f>IF(LEFT(VLOOKUP($A90,Organization!$A$13:$E$67,5,0),21)='Auto Responses'!$A$32,'Auto Responses'!$A$33,VLOOKUP($A90,Organization!$A$13:$E$67,4,0))&amp;""</f>
        <v>Standard data processing agreements (Art. 28 GDPR) are in place with our processors (e.g., hosting and payment providers) governing access to and use of any personal data.</v>
      </c>
      <c r="E90" s="204" t="str">
        <f>VLOOKUP($A90,Organization!$A$13:$E$67,5,0)&amp;""</f>
        <v>List each third party and why institutional data is shared with them. Format example: [Third Party Name] - Reason</v>
      </c>
      <c r="F90" s="210"/>
      <c r="G90" s="196" t="str">
        <f>VLOOKUP($A90,Questions!$A$2:$X$333,21,0)&amp;""</f>
        <v>Yes</v>
      </c>
      <c r="H90" s="197"/>
      <c r="I90" s="198" t="str">
        <f>VLOOKUP($A90,Questions!$A$2:$X$333,23,0)&amp;""</f>
        <v>Critical Importance</v>
      </c>
      <c r="J90" s="197"/>
      <c r="K90" s="199" t="b">
        <f>FALSE()</f>
        <v>0</v>
      </c>
      <c r="L90" s="3"/>
    </row>
    <row r="91" spans="1:12" s="189" customFormat="1" ht="27" customHeight="1" x14ac:dyDescent="0.15">
      <c r="A91" s="36" t="str">
        <f>Organization!$A$32</f>
        <v>THRD-03</v>
      </c>
      <c r="B91" s="37" t="str">
        <f>VLOOKUP($A91,Organization!$A$13:$E$67,2,0)&amp;""</f>
        <v>Do the contracts in place with these third parties address liability in the event of a data breach?*</v>
      </c>
      <c r="C91" s="198" t="str">
        <f>VLOOKUP($A91,Organization!$A$13:$E$67,3,0)&amp;""</f>
        <v>Yes</v>
      </c>
      <c r="D91" s="70" t="str">
        <f>IF(LEFT(VLOOKUP($A91,Organization!$A$13:$E$67,5,0),21)='Auto Responses'!$A$32,'Auto Responses'!$A$33,VLOOKUP($A91,Organization!$A$13:$E$67,4,0))&amp;""</f>
        <v>Contracts with our third-party processors follow their standard terms, which address liability and breach notification; SmartPLS GmbH has not separately negotiated bespoke breach-liability clauses.</v>
      </c>
      <c r="E91" s="204" t="str">
        <f>VLOOKUP($A91,Organization!$A$13:$E$67,5,0)&amp;""</f>
        <v/>
      </c>
      <c r="F91" s="210"/>
      <c r="G91" s="196" t="str">
        <f>VLOOKUP($A91,Questions!$A$2:$X$333,21,0)&amp;""</f>
        <v>Yes</v>
      </c>
      <c r="H91" s="197"/>
      <c r="I91" s="198" t="str">
        <f>VLOOKUP($A91,Questions!$A$2:$X$333,23,0)&amp;""</f>
        <v>Critical Importance</v>
      </c>
      <c r="J91" s="197"/>
      <c r="K91" s="199" t="b">
        <f>FALSE()</f>
        <v>0</v>
      </c>
      <c r="L91" s="3"/>
    </row>
    <row r="92" spans="1:12" s="189" customFormat="1" ht="90" customHeight="1" x14ac:dyDescent="0.15">
      <c r="A92" s="36" t="str">
        <f>Organization!$A$33</f>
        <v>THRD-04</v>
      </c>
      <c r="B92" s="37" t="str">
        <f>VLOOKUP($A92,Organization!$A$13:$E$67,2,0)&amp;""</f>
        <v>Do you have an implemented third-party management strategy?*</v>
      </c>
      <c r="C92" s="198" t="str">
        <f>VLOOKUP($A92,Organization!$A$13:$E$67,3,0)&amp;""</f>
        <v>No</v>
      </c>
      <c r="D92" s="70" t="str">
        <f>IF(LEFT(VLOOKUP($A92,Organization!$A$13:$E$67,5,0),21)='Auto Responses'!$A$32,'Auto Responses'!$A$33,VLOOKUP($A92,Organization!$A$13:$E$67,4,0))&amp;""</f>
        <v/>
      </c>
      <c r="E92" s="204" t="str">
        <f>VLOOKUP($A92,Organization!$A$13:$E$67,5,0)&amp;""</f>
        <v>State your plans to implement a third-party management strategy.</v>
      </c>
      <c r="F92" s="210"/>
      <c r="G92" s="196" t="str">
        <f>VLOOKUP($A92,Questions!$A$2:$X$333,21,0)&amp;""</f>
        <v>Yes</v>
      </c>
      <c r="H92" s="197"/>
      <c r="I92" s="198" t="str">
        <f>VLOOKUP($A92,Questions!$A$2:$X$333,23,0)&amp;""</f>
        <v>Critical Importance</v>
      </c>
      <c r="J92" s="197"/>
      <c r="K92" s="199" t="b">
        <f>FALSE()</f>
        <v>0</v>
      </c>
      <c r="L92" s="3"/>
    </row>
    <row r="93" spans="1:12" s="189" customFormat="1" ht="45" customHeight="1" x14ac:dyDescent="0.15">
      <c r="A93" s="36" t="str">
        <f>Organization!$A$34</f>
        <v>THRD-05</v>
      </c>
      <c r="B93" s="37" t="str">
        <f>VLOOKUP($A93,Organization!$A$13:$E$67,2,0)&amp;""</f>
        <v>Do you have a process and implemented procedures for managing your hardware supply chain (e.g., telecommunications equipment, export licensing, computing devices)?</v>
      </c>
      <c r="C93" s="198" t="str">
        <f>VLOOKUP($A93,Organization!$A$13:$E$67,3,0)&amp;""</f>
        <v>No</v>
      </c>
      <c r="D93" s="70" t="str">
        <f>IF(LEFT(VLOOKUP($A93,Organization!$A$13:$E$67,5,0),21)='Auto Responses'!$A$32,'Auto Responses'!$A$33,VLOOKUP($A93,Organization!$A$13:$E$67,4,0))&amp;""</f>
        <v>Not applicable — SmartPLS GmbH does not manufacture or distribute hardware; the product is software delivered by download.</v>
      </c>
      <c r="E93" s="204" t="str">
        <f>VLOOKUP($A93,Organization!$A$13:$E$67,5,0)&amp;""</f>
        <v>State your plans to create a process and implemented procedures for managing your hardware supply chain.</v>
      </c>
      <c r="F93" s="210"/>
      <c r="G93" s="196" t="str">
        <f>VLOOKUP($A93,Questions!$A$2:$X$333,21,0)&amp;""</f>
        <v>Yes</v>
      </c>
      <c r="H93" s="197"/>
      <c r="I93" s="198" t="str">
        <f>VLOOKUP($A93,Questions!$A$2:$X$333,23,0)&amp;""</f>
        <v>Standard Importance</v>
      </c>
      <c r="J93" s="197"/>
      <c r="K93" s="199" t="b">
        <f>FALSE()</f>
        <v>0</v>
      </c>
      <c r="L93" s="3"/>
    </row>
    <row r="94" spans="1:12" s="3" customFormat="1" ht="17.25" customHeight="1" x14ac:dyDescent="0.15">
      <c r="A94" s="32" t="str">
        <f>VLOOKUP(LEFT($A95,4),'Auto Responses'!$N$4:$O$38,2,0)&amp;""</f>
        <v xml:space="preserve"> Change Management</v>
      </c>
      <c r="B94" s="41"/>
      <c r="C94" s="42"/>
      <c r="D94" s="42"/>
      <c r="E94" s="203"/>
      <c r="F94" s="191" t="s">
        <v>468</v>
      </c>
      <c r="G94" s="200" t="s">
        <v>463</v>
      </c>
      <c r="H94" s="200" t="s">
        <v>464</v>
      </c>
      <c r="I94" s="200" t="s">
        <v>465</v>
      </c>
      <c r="J94" s="200" t="s">
        <v>466</v>
      </c>
      <c r="K94" s="200" t="s">
        <v>467</v>
      </c>
    </row>
    <row r="95" spans="1:12" s="189" customFormat="1" ht="27" customHeight="1" x14ac:dyDescent="0.15">
      <c r="A95" s="36" t="str">
        <f>Organization!$A$36</f>
        <v>CHNG-01</v>
      </c>
      <c r="B95" s="37" t="str">
        <f>VLOOKUP($A95,Organization!$A$13:$E$67,2,0)&amp;""</f>
        <v>Will the institution be notified of major changes to your environment that could impact the institution's security posture?*</v>
      </c>
      <c r="C95" s="198" t="str">
        <f>VLOOKUP($A95,Organization!$A$13:$E$67,3,0)&amp;""</f>
        <v>Yes</v>
      </c>
      <c r="D95" s="70" t="str">
        <f>IF(LEFT(VLOOKUP($A95,Organization!$A$13:$E$67,5,0),21)='Auto Responses'!$A$32,'Auto Responses'!$A$33,VLOOKUP($A95,Organization!$A$13:$E$67,4,0))&amp;""</f>
        <v>Customers are informed of major SmartPLS releases via the website and, where relevant, direct email.</v>
      </c>
      <c r="E95" s="204" t="str">
        <f>VLOOKUP($A95,Organization!$A$13:$E$67,5,0)&amp;""</f>
        <v>State how and when the institution will be notified of major changes to your environment.</v>
      </c>
      <c r="F95" s="210"/>
      <c r="G95" s="196" t="str">
        <f>VLOOKUP($A95,Questions!$A$2:$X$333,21,0)&amp;""</f>
        <v>Yes</v>
      </c>
      <c r="H95" s="197"/>
      <c r="I95" s="198" t="str">
        <f>VLOOKUP($A95,Questions!$A$2:$X$333,23,0)&amp;""</f>
        <v>Critical Importance</v>
      </c>
      <c r="J95" s="197"/>
      <c r="K95" s="199" t="b">
        <f>FALSE()</f>
        <v>0</v>
      </c>
      <c r="L95" s="3"/>
    </row>
    <row r="96" spans="1:12" s="189" customFormat="1" ht="75" customHeight="1" x14ac:dyDescent="0.15">
      <c r="A96" s="36" t="str">
        <f>Organization!$A$37</f>
        <v>CHNG-02</v>
      </c>
      <c r="B96" s="37" t="str">
        <f>VLOOKUP($A96,Organization!$A$13:$E$67,2,0)&amp;""</f>
        <v>Does the system support client customizations from one release to another?*</v>
      </c>
      <c r="C96" s="198" t="str">
        <f>VLOOKUP($A96,Organization!$A$13:$E$67,3,0)&amp;""</f>
        <v>N/A</v>
      </c>
      <c r="D96" s="70" t="str">
        <f>IF(LEFT(VLOOKUP($A96,Organization!$A$13:$E$67,5,0),21)='Auto Responses'!$A$32,'Auto Responses'!$A$33,VLOOKUP($A96,Organization!$A$13:$E$67,4,0))&amp;""</f>
        <v>SmartPLS Desktop is a standard, non-customized product; there is no client-specific customization between releases.</v>
      </c>
      <c r="E96" s="204" t="str">
        <f>VLOOKUP($A96,Organization!$A$13:$E$67,5,0)&amp;""</f>
        <v>Please explain why this does not apply to your organization, product or service.</v>
      </c>
      <c r="F96" s="210"/>
      <c r="G96" s="196" t="str">
        <f>VLOOKUP($A96,Questions!$A$2:$X$333,21,0)&amp;""</f>
        <v>Yes</v>
      </c>
      <c r="H96" s="197"/>
      <c r="I96" s="198" t="str">
        <f>VLOOKUP($A96,Questions!$A$2:$X$333,23,0)&amp;""</f>
        <v>Critical Importance</v>
      </c>
      <c r="J96" s="197"/>
      <c r="K96" s="199" t="b">
        <f>FALSE()</f>
        <v>0</v>
      </c>
      <c r="L96" s="3"/>
    </row>
    <row r="97" spans="1:12" s="189" customFormat="1" ht="27" customHeight="1" x14ac:dyDescent="0.15">
      <c r="A97" s="36" t="str">
        <f>Organization!$A$38</f>
        <v>CHNG-03</v>
      </c>
      <c r="B97" s="37" t="str">
        <f>VLOOKUP($A97,Organization!$A$13:$E$67,2,0)&amp;""</f>
        <v>Do you have an implemented system configuration management process (e.g., secure "gold" images, etc.)?*</v>
      </c>
      <c r="C97" s="198" t="str">
        <f>VLOOKUP($A97,Organization!$A$13:$E$67,3,0)&amp;""</f>
        <v>N/A</v>
      </c>
      <c r="D97" s="70" t="str">
        <f>IF(LEFT(VLOOKUP($A97,Organization!$A$13:$E$67,5,0),21)='Auto Responses'!$A$32,'Auto Responses'!$A$33,VLOOKUP($A97,Organization!$A$13:$E$67,4,0))&amp;""</f>
        <v>SmartPLS Desktop is a locally installed application; SmartPLS does not operate customer-facing servers requiring configuration-management "gold images."</v>
      </c>
      <c r="E97" s="204" t="str">
        <f>VLOOKUP($A97,Organization!$A$13:$E$67,5,0)&amp;""</f>
        <v>Please explain why this does not apply to your organization, product or service.</v>
      </c>
      <c r="F97" s="210"/>
      <c r="G97" s="196" t="str">
        <f>VLOOKUP($A97,Questions!$A$2:$X$333,21,0)&amp;""</f>
        <v>Yes</v>
      </c>
      <c r="H97" s="197"/>
      <c r="I97" s="198" t="str">
        <f>VLOOKUP($A97,Questions!$A$2:$X$333,23,0)&amp;""</f>
        <v>Critical Importance</v>
      </c>
      <c r="J97" s="197"/>
      <c r="K97" s="199" t="b">
        <f>FALSE()</f>
        <v>0</v>
      </c>
      <c r="L97" s="3"/>
    </row>
    <row r="98" spans="1:12" s="189" customFormat="1" ht="15" customHeight="1" x14ac:dyDescent="0.15">
      <c r="A98" s="36" t="str">
        <f>Organization!$A$39</f>
        <v>CHNG-04</v>
      </c>
      <c r="B98" s="37" t="str">
        <f>VLOOKUP($A98,Organization!$A$13:$E$67,2,0)&amp;""</f>
        <v>Do you have a documented change management process?</v>
      </c>
      <c r="C98" s="198" t="str">
        <f>VLOOKUP($A98,Organization!$A$13:$E$67,3,0)&amp;""</f>
        <v>Yes</v>
      </c>
      <c r="D98" s="70" t="str">
        <f>IF(LEFT(VLOOKUP($A98,Organization!$A$13:$E$67,5,0),21)='Auto Responses'!$A$32,'Auto Responses'!$A$33,VLOOKUP($A98,Organization!$A$13:$E$67,4,0))&amp;""</f>
        <v>New releases follow an internal review and testing process before publication.</v>
      </c>
      <c r="E98" s="204" t="str">
        <f>VLOOKUP($A98,Organization!$A$13:$E$67,5,0)&amp;""</f>
        <v>Summarize your current change management process.</v>
      </c>
      <c r="F98" s="210"/>
      <c r="G98" s="196" t="str">
        <f>VLOOKUP($A98,Questions!$A$2:$X$333,21,0)&amp;""</f>
        <v>Yes</v>
      </c>
      <c r="H98" s="197"/>
      <c r="I98" s="198" t="str">
        <f>VLOOKUP($A98,Questions!$A$2:$X$333,23,0)&amp;""</f>
        <v>Standard Importance</v>
      </c>
      <c r="J98" s="197"/>
      <c r="K98" s="199" t="b">
        <f>FALSE()</f>
        <v>0</v>
      </c>
      <c r="L98" s="3"/>
    </row>
    <row r="99" spans="1:12" s="189" customFormat="1" ht="40.5" customHeight="1" x14ac:dyDescent="0.15">
      <c r="A99" s="36" t="str">
        <f>Organization!$A$40</f>
        <v>CHNG-05</v>
      </c>
      <c r="B99" s="37" t="str">
        <f>VLOOKUP($A99,Organization!$A$13:$E$67,2,0)&amp;""</f>
        <v>Does your change management process minimally include authorization, impact analysis, testing, and validation before moving changes to production?</v>
      </c>
      <c r="C99" s="198" t="str">
        <f>VLOOKUP($A99,Organization!$A$13:$E$67,3,0)&amp;""</f>
        <v>Yes</v>
      </c>
      <c r="D99" s="70" t="str">
        <f>IF(LEFT(VLOOKUP($A99,Organization!$A$13:$E$67,5,0),21)='Auto Responses'!$A$32,'Auto Responses'!$A$33,VLOOKUP($A99,Organization!$A$13:$E$67,4,0))&amp;""</f>
        <v>Releases are tested and validated by the team before being made available for download.</v>
      </c>
      <c r="E99" s="204" t="str">
        <f>VLOOKUP($A99,Organization!$A$13:$E$67,5,0)&amp;""</f>
        <v>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v>
      </c>
      <c r="F99" s="210"/>
      <c r="G99" s="196" t="str">
        <f>VLOOKUP($A99,Questions!$A$2:$X$333,21,0)&amp;""</f>
        <v>Yes</v>
      </c>
      <c r="H99" s="197"/>
      <c r="I99" s="198" t="str">
        <f>VLOOKUP($A99,Questions!$A$2:$X$333,23,0)&amp;""</f>
        <v>Standard Importance</v>
      </c>
      <c r="J99" s="197"/>
      <c r="K99" s="199" t="b">
        <f>FALSE()</f>
        <v>0</v>
      </c>
      <c r="L99" s="3"/>
    </row>
    <row r="100" spans="1:12" s="189" customFormat="1" ht="27" customHeight="1" x14ac:dyDescent="0.15">
      <c r="A100" s="36" t="str">
        <f>Organization!$A$41</f>
        <v>CHNG-06</v>
      </c>
      <c r="B100" s="37" t="str">
        <f>VLOOKUP($A100,Organization!$A$13:$E$67,2,0)&amp;""</f>
        <v>Does your change management process verify that all required third-party libraries and dependencies are still supported with each major change?</v>
      </c>
      <c r="C100" s="198" t="str">
        <f>VLOOKUP($A100,Organization!$A$13:$E$67,3,0)&amp;""</f>
        <v>Yes</v>
      </c>
      <c r="D100" s="70" t="str">
        <f>IF(LEFT(VLOOKUP($A100,Organization!$A$13:$E$67,5,0),21)='Auto Responses'!$A$32,'Auto Responses'!$A$33,VLOOKUP($A100,Organization!$A$13:$E$67,4,0))&amp;""</f>
        <v>Third-party libraries are reviewed for continued support as part of each major release cycle.</v>
      </c>
      <c r="E100" s="204" t="str">
        <f>VLOOKUP($A100,Organization!$A$13:$E$67,5,0)&amp;""</f>
        <v>Please describe your program to track these dependencies.</v>
      </c>
      <c r="F100" s="210"/>
      <c r="G100" s="196" t="str">
        <f>VLOOKUP($A100,Questions!$A$2:$X$333,21,0)&amp;""</f>
        <v>Yes</v>
      </c>
      <c r="H100" s="197"/>
      <c r="I100" s="198" t="str">
        <f>VLOOKUP($A100,Questions!$A$2:$X$333,23,0)&amp;""</f>
        <v>Standard Importance</v>
      </c>
      <c r="J100" s="197"/>
      <c r="K100" s="199" t="b">
        <f>FALSE()</f>
        <v>0</v>
      </c>
      <c r="L100" s="3"/>
    </row>
    <row r="101" spans="1:12" s="189" customFormat="1" ht="27" customHeight="1" x14ac:dyDescent="0.15">
      <c r="A101" s="36" t="str">
        <f>Organization!$A$42</f>
        <v>CHNG-07</v>
      </c>
      <c r="B101" s="37" t="str">
        <f>VLOOKUP($A101,Organization!$A$13:$E$67,2,0)&amp;""</f>
        <v>Do you have policy and procedure, currently implemented, managing how critical patches are applied to all systems and applications?</v>
      </c>
      <c r="C101" s="198" t="str">
        <f>VLOOKUP($A101,Organization!$A$13:$E$67,3,0)&amp;""</f>
        <v>Yes</v>
      </c>
      <c r="D101" s="70" t="str">
        <f>IF(LEFT(VLOOKUP($A101,Organization!$A$13:$E$67,5,0),21)='Auto Responses'!$A$32,'Auto Responses'!$A$33,VLOOKUP($A101,Organization!$A$13:$E$67,4,0))&amp;""</f>
        <v>Critical fixes are released as updates that customers can download and install at any time.</v>
      </c>
      <c r="E101" s="204" t="str">
        <f>VLOOKUP($A101,Organization!$A$13:$E$67,5,0)&amp;""</f>
        <v>Summarize the policy and procedure(s) managing how critical patches are applied to systems and applications.</v>
      </c>
      <c r="F101" s="210"/>
      <c r="G101" s="196" t="str">
        <f>VLOOKUP($A101,Questions!$A$2:$X$333,21,0)&amp;""</f>
        <v>Yes</v>
      </c>
      <c r="H101" s="197"/>
      <c r="I101" s="198" t="str">
        <f>VLOOKUP($A101,Questions!$A$2:$X$333,23,0)&amp;""</f>
        <v>Standard Importance</v>
      </c>
      <c r="J101" s="197"/>
      <c r="K101" s="199" t="b">
        <f>FALSE()</f>
        <v>0</v>
      </c>
      <c r="L101" s="3"/>
    </row>
    <row r="102" spans="1:12" s="189" customFormat="1" ht="27" customHeight="1" x14ac:dyDescent="0.15">
      <c r="A102" s="36" t="str">
        <f>Organization!$A$43</f>
        <v>CHNG-08</v>
      </c>
      <c r="B102" s="37" t="str">
        <f>VLOOKUP($A102,Organization!$A$13:$E$67,2,0)&amp;""</f>
        <v>Have you implemented policies and procedures that guide how security risks are mitigated until patches can be applied?</v>
      </c>
      <c r="C102" s="198" t="str">
        <f>VLOOKUP($A102,Organization!$A$13:$E$67,3,0)&amp;""</f>
        <v>No</v>
      </c>
      <c r="D102" s="70" t="str">
        <f>IF(LEFT(VLOOKUP($A102,Organization!$A$13:$E$67,5,0),21)='Auto Responses'!$A$32,'Auto Responses'!$A$33,VLOOKUP($A102,Organization!$A$13:$E$67,4,0))&amp;""</f>
        <v>There is no separate, formal policy for mitigating risk while a fix is pending, beyond expediting release of a patch.</v>
      </c>
      <c r="E102" s="204" t="str">
        <f>VLOOKUP($A102,Organization!$A$13:$E$67,5,0)&amp;""</f>
        <v>State your plans to implement policy and procedure(s) guiding risk mitigation practices before critical patches can be applied.</v>
      </c>
      <c r="F102" s="210"/>
      <c r="G102" s="196" t="str">
        <f>VLOOKUP($A102,Questions!$A$2:$X$333,21,0)&amp;""</f>
        <v>Yes</v>
      </c>
      <c r="H102" s="197"/>
      <c r="I102" s="198" t="str">
        <f>VLOOKUP($A102,Questions!$A$2:$X$333,23,0)&amp;""</f>
        <v>Standard Importance</v>
      </c>
      <c r="J102" s="197"/>
      <c r="K102" s="199" t="b">
        <f>FALSE()</f>
        <v>0</v>
      </c>
      <c r="L102" s="3"/>
    </row>
    <row r="103" spans="1:12" s="189" customFormat="1" ht="27" customHeight="1" x14ac:dyDescent="0.15">
      <c r="A103" s="36" t="str">
        <f>Organization!$A$44</f>
        <v>CHNG-09</v>
      </c>
      <c r="B103" s="37" t="str">
        <f>VLOOKUP($A103,Organization!$A$13:$E$67,2,0)&amp;""</f>
        <v>Do clients have the option to not participate in or postpone an upgrade to a new release?</v>
      </c>
      <c r="C103" s="198" t="str">
        <f>VLOOKUP($A103,Organization!$A$13:$E$67,3,0)&amp;""</f>
        <v>Yes</v>
      </c>
      <c r="D103" s="70" t="str">
        <f>IF(LEFT(VLOOKUP($A103,Organization!$A$13:$E$67,5,0),21)='Auto Responses'!$A$32,'Auto Responses'!$A$33,VLOOKUP($A103,Organization!$A$13:$E$67,4,0))&amp;""</f>
        <v>Because SmartPLS Desktop is installed locally, customers control if and when they install a new version; older versions continue to run.</v>
      </c>
      <c r="E103" s="204" t="str">
        <f>VLOOKUP($A103,Organization!$A$13:$E$67,5,0)&amp;""</f>
        <v>Provide reference the  process/procedure to manage releases.</v>
      </c>
      <c r="F103" s="210"/>
      <c r="G103" s="196" t="str">
        <f>VLOOKUP($A103,Questions!$A$2:$X$333,21,0)&amp;""</f>
        <v>Yes</v>
      </c>
      <c r="H103" s="197"/>
      <c r="I103" s="198" t="str">
        <f>VLOOKUP($A103,Questions!$A$2:$X$333,23,0)&amp;""</f>
        <v>Minor Importance</v>
      </c>
      <c r="J103" s="197"/>
      <c r="K103" s="199" t="b">
        <f>FALSE()</f>
        <v>0</v>
      </c>
      <c r="L103" s="3"/>
    </row>
    <row r="104" spans="1:12" s="189" customFormat="1" ht="75" customHeight="1" x14ac:dyDescent="0.15">
      <c r="A104" s="36" t="str">
        <f>Organization!$A$45</f>
        <v>CHNG-10</v>
      </c>
      <c r="B104" s="37" t="str">
        <f>VLOOKUP($A104,Organization!$A$13:$E$67,2,0)&amp;""</f>
        <v>Do you have a fully implemented solution support strategy that defines how many concurrent versions you support?</v>
      </c>
      <c r="C104" s="198" t="str">
        <f>VLOOKUP($A104,Organization!$A$13:$E$67,3,0)&amp;""</f>
        <v>No</v>
      </c>
      <c r="D104" s="70" t="str">
        <f>IF(LEFT(VLOOKUP($A104,Organization!$A$13:$E$67,5,0),21)='Auto Responses'!$A$32,'Auto Responses'!$A$33,VLOOKUP($A104,Organization!$A$13:$E$67,4,0))&amp;""</f>
        <v/>
      </c>
      <c r="E104" s="204" t="str">
        <f>VLOOKUP($A104,Organization!$A$13:$E$67,5,0)&amp;""</f>
        <v>Clarify the lack of support strategy for concurrent versions in your solution.</v>
      </c>
      <c r="F104" s="210"/>
      <c r="G104" s="196" t="str">
        <f>VLOOKUP($A104,Questions!$A$2:$X$333,21,0)&amp;""</f>
        <v>Yes</v>
      </c>
      <c r="H104" s="197"/>
      <c r="I104" s="198" t="str">
        <f>VLOOKUP($A104,Questions!$A$2:$X$333,23,0)&amp;""</f>
        <v>Minor Importance</v>
      </c>
      <c r="J104" s="197"/>
      <c r="K104" s="199" t="b">
        <f>FALSE()</f>
        <v>0</v>
      </c>
      <c r="L104" s="3"/>
    </row>
    <row r="105" spans="1:12" s="189" customFormat="1" ht="15" customHeight="1" x14ac:dyDescent="0.15">
      <c r="A105" s="36" t="str">
        <f>Organization!$A$46</f>
        <v>CHNG-11</v>
      </c>
      <c r="B105" s="37" t="str">
        <f>VLOOKUP($A105,Organization!$A$13:$E$67,2,0)&amp;""</f>
        <v>Do you have a release schedule for product updates?</v>
      </c>
      <c r="C105" s="198" t="str">
        <f>VLOOKUP($A105,Organization!$A$13:$E$67,3,0)&amp;""</f>
        <v>Yes</v>
      </c>
      <c r="D105" s="70" t="str">
        <f>IF(LEFT(VLOOKUP($A105,Organization!$A$13:$E$67,5,0),21)='Auto Responses'!$A$32,'Auto Responses'!$A$33,VLOOKUP($A105,Organization!$A$13:$E$67,4,0))&amp;""</f>
        <v>SmartPLS is updated periodically, with release notes published on smartpls.com.</v>
      </c>
      <c r="E105" s="204" t="str">
        <f>VLOOKUP($A105,Organization!$A$13:$E$67,5,0)&amp;""</f>
        <v>Provide a reference to this solution's release schedule.</v>
      </c>
      <c r="F105" s="210"/>
      <c r="G105" s="196" t="str">
        <f>VLOOKUP($A105,Questions!$A$2:$X$333,21,0)&amp;""</f>
        <v>Yes</v>
      </c>
      <c r="H105" s="197"/>
      <c r="I105" s="198" t="str">
        <f>VLOOKUP($A105,Questions!$A$2:$X$333,23,0)&amp;""</f>
        <v>Minor Importance</v>
      </c>
      <c r="J105" s="197"/>
      <c r="K105" s="199" t="b">
        <f>FALSE()</f>
        <v>0</v>
      </c>
      <c r="L105" s="3"/>
    </row>
    <row r="106" spans="1:12" s="189" customFormat="1" ht="27" customHeight="1" x14ac:dyDescent="0.15">
      <c r="A106" s="36" t="str">
        <f>Organization!$A$47</f>
        <v>CHNG-12</v>
      </c>
      <c r="B106" s="37" t="str">
        <f>VLOOKUP($A106,Organization!$A$13:$E$67,2,0)&amp;""</f>
        <v>Do you have a technology roadmap, for at least the next two years, for enhancements and bug fixes for the solution being assessed?</v>
      </c>
      <c r="C106" s="198" t="str">
        <f>VLOOKUP($A106,Organization!$A$13:$E$67,3,0)&amp;""</f>
        <v>No</v>
      </c>
      <c r="D106" s="70" t="str">
        <f>IF(LEFT(VLOOKUP($A106,Organization!$A$13:$E$67,5,0),21)='Auto Responses'!$A$32,'Auto Responses'!$A$33,VLOOKUP($A106,Organization!$A$13:$E$67,4,0))&amp;""</f>
        <v/>
      </c>
      <c r="E106" s="204" t="str">
        <f>VLOOKUP($A106,Organization!$A$13:$E$67,5,0)&amp;""</f>
        <v>State any plans to release a technology roadmap covering the next two years.</v>
      </c>
      <c r="F106" s="210"/>
      <c r="G106" s="196" t="str">
        <f>VLOOKUP($A106,Questions!$A$2:$X$333,21,0)&amp;""</f>
        <v>Yes</v>
      </c>
      <c r="H106" s="197"/>
      <c r="I106" s="198" t="str">
        <f>VLOOKUP($A106,Questions!$A$2:$X$333,23,0)&amp;""</f>
        <v>Minor Importance</v>
      </c>
      <c r="J106" s="197"/>
      <c r="K106" s="199" t="b">
        <f>FALSE()</f>
        <v>0</v>
      </c>
      <c r="L106" s="3"/>
    </row>
    <row r="107" spans="1:12" s="189" customFormat="1" ht="27" customHeight="1" x14ac:dyDescent="0.15">
      <c r="A107" s="36" t="str">
        <f>Organization!$A$48</f>
        <v>CHNG-13</v>
      </c>
      <c r="B107" s="37" t="str">
        <f>VLOOKUP($A107,Organization!$A$13:$E$67,2,0)&amp;""</f>
        <v>Can solution updates be completed without institutional involvement (i.e., technically or organizationally)?</v>
      </c>
      <c r="C107" s="198" t="str">
        <f>VLOOKUP($A107,Organization!$A$13:$E$67,3,0)&amp;""</f>
        <v>Yes</v>
      </c>
      <c r="D107" s="70" t="str">
        <f>IF(LEFT(VLOOKUP($A107,Organization!$A$13:$E$67,5,0),21)='Auto Responses'!$A$32,'Auto Responses'!$A$33,VLOOKUP($A107,Organization!$A$13:$E$67,4,0))&amp;""</f>
        <v>Customers install updates themselves; no institutional involvement from SmartPLS GmbH is required.</v>
      </c>
      <c r="E107" s="204" t="str">
        <f>VLOOKUP($A107,Organization!$A$13:$E$67,5,0)&amp;""</f>
        <v/>
      </c>
      <c r="F107" s="210"/>
      <c r="G107" s="196" t="str">
        <f>VLOOKUP($A107,Questions!$A$2:$X$333,21,0)&amp;""</f>
        <v>Yes</v>
      </c>
      <c r="H107" s="197"/>
      <c r="I107" s="198" t="str">
        <f>VLOOKUP($A107,Questions!$A$2:$X$333,23,0)&amp;""</f>
        <v>Minor Importance</v>
      </c>
      <c r="J107" s="197"/>
      <c r="K107" s="199" t="b">
        <f>FALSE()</f>
        <v>0</v>
      </c>
      <c r="L107" s="3"/>
    </row>
    <row r="108" spans="1:12" s="189" customFormat="1" ht="27" customHeight="1" x14ac:dyDescent="0.15">
      <c r="A108" s="36" t="str">
        <f>Organization!$A$49</f>
        <v>CHNG-14</v>
      </c>
      <c r="B108" s="37" t="str">
        <f>VLOOKUP($A108,Organization!$A$13:$E$67,2,0)&amp;""</f>
        <v>Are upgrades or system changes installed during off-peak hours or in a manner that does not impact the customer?</v>
      </c>
      <c r="C108" s="198" t="str">
        <f>VLOOKUP($A108,Organization!$A$13:$E$67,3,0)&amp;""</f>
        <v>Yes</v>
      </c>
      <c r="D108" s="70" t="str">
        <f>IF(LEFT(VLOOKUP($A108,Organization!$A$13:$E$67,5,0),21)='Auto Responses'!$A$32,'Auto Responses'!$A$33,VLOOKUP($A108,Organization!$A$13:$E$67,4,0))&amp;""</f>
        <v>As the customer controls installation timing, updates do not disrupt operations.</v>
      </c>
      <c r="E108" s="204" t="str">
        <f>VLOOKUP($A108,Organization!$A$13:$E$67,5,0)&amp;""</f>
        <v>Define current off-peak hours, including time zones as necessary.</v>
      </c>
      <c r="F108" s="210"/>
      <c r="G108" s="196" t="str">
        <f>VLOOKUP($A108,Questions!$A$2:$X$333,21,0)&amp;""</f>
        <v>Yes</v>
      </c>
      <c r="H108" s="197"/>
      <c r="I108" s="198" t="str">
        <f>VLOOKUP($A108,Questions!$A$2:$X$333,23,0)&amp;""</f>
        <v>Minor Importance</v>
      </c>
      <c r="J108" s="197"/>
      <c r="K108" s="199" t="b">
        <f>FALSE()</f>
        <v>0</v>
      </c>
      <c r="L108" s="3"/>
    </row>
    <row r="109" spans="1:12" s="189" customFormat="1" ht="27" customHeight="1" x14ac:dyDescent="0.15">
      <c r="A109" s="36" t="str">
        <f>Organization!$A$50</f>
        <v>CHNG-15</v>
      </c>
      <c r="B109" s="37" t="str">
        <f>VLOOKUP($A109,Organization!$A$13:$E$67,2,0)&amp;""</f>
        <v>Do procedures exist to provide that emergency changes are documented and authorized (including after-the-fact approval)?</v>
      </c>
      <c r="C109" s="198" t="str">
        <f>VLOOKUP($A109,Organization!$A$13:$E$67,3,0)&amp;""</f>
        <v>No</v>
      </c>
      <c r="D109" s="70" t="str">
        <f>IF(LEFT(VLOOKUP($A109,Organization!$A$13:$E$67,5,0),21)='Auto Responses'!$A$32,'Auto Responses'!$A$33,VLOOKUP($A109,Organization!$A$13:$E$67,4,0))&amp;""</f>
        <v/>
      </c>
      <c r="E109" s="204" t="str">
        <f>VLOOKUP($A109,Organization!$A$13:$E$67,5,0)&amp;""</f>
        <v>Describe plans to implement procedure ensuring that emergency changes are documented and authorized.</v>
      </c>
      <c r="F109" s="210"/>
      <c r="G109" s="196" t="str">
        <f>VLOOKUP($A109,Questions!$A$2:$X$333,21,0)&amp;""</f>
        <v>Yes</v>
      </c>
      <c r="H109" s="197"/>
      <c r="I109" s="198" t="str">
        <f>VLOOKUP($A109,Questions!$A$2:$X$333,23,0)&amp;""</f>
        <v>Minor Importance</v>
      </c>
      <c r="J109" s="197"/>
      <c r="K109" s="199" t="b">
        <f>FALSE()</f>
        <v>0</v>
      </c>
      <c r="L109" s="3"/>
    </row>
    <row r="110" spans="1:12" s="189" customFormat="1" ht="40.5" customHeight="1" x14ac:dyDescent="0.15">
      <c r="A110" s="36" t="str">
        <f>Organization!$A$51</f>
        <v>CHNG-16</v>
      </c>
      <c r="B110" s="37" t="str">
        <f>VLOOKUP($A110,Organization!$A$13:$E$67,2,0)&amp;""</f>
        <v>Do you have a systems management and configuration strategy that encompasses servers, appliances, cloud services, applications, and mobile devices (company and employee owned)?</v>
      </c>
      <c r="C110" s="198" t="str">
        <f>VLOOKUP($A110,Organization!$A$13:$E$67,3,0)&amp;""</f>
        <v>No</v>
      </c>
      <c r="D110" s="70" t="str">
        <f>IF(LEFT(VLOOKUP($A110,Organization!$A$13:$E$67,5,0),21)='Auto Responses'!$A$32,'Auto Responses'!$A$33,VLOOKUP($A110,Organization!$A$13:$E$67,4,0))&amp;""</f>
        <v/>
      </c>
      <c r="E110" s="204" t="str">
        <f>VLOOKUP($A110,Organization!$A$13:$E$67,5,0)&amp;""</f>
        <v>Describe your intent to implement a systems management and configuration strategy.</v>
      </c>
      <c r="F110" s="210"/>
      <c r="G110" s="196" t="str">
        <f>VLOOKUP($A110,Questions!$A$2:$X$333,21,0)&amp;""</f>
        <v>Yes</v>
      </c>
      <c r="H110" s="197"/>
      <c r="I110" s="198" t="str">
        <f>VLOOKUP($A110,Questions!$A$2:$X$333,23,0)&amp;""</f>
        <v>Minor Importance</v>
      </c>
      <c r="J110" s="197"/>
      <c r="K110" s="199" t="b">
        <f>FALSE()</f>
        <v>0</v>
      </c>
      <c r="L110" s="3"/>
    </row>
    <row r="111" spans="1:12" s="3" customFormat="1" ht="17.25" customHeight="1" x14ac:dyDescent="0.15">
      <c r="A111" s="32" t="str">
        <f>VLOOKUP(LEFT($A112,4),'Auto Responses'!$N$4:$O$38,2,0)&amp;""</f>
        <v xml:space="preserve"> Policies, Processes, and Procedures</v>
      </c>
      <c r="B111" s="41"/>
      <c r="C111" s="42"/>
      <c r="D111" s="42"/>
      <c r="E111" s="203"/>
      <c r="F111" s="191" t="s">
        <v>468</v>
      </c>
      <c r="G111" s="200" t="s">
        <v>463</v>
      </c>
      <c r="H111" s="200" t="s">
        <v>464</v>
      </c>
      <c r="I111" s="200" t="s">
        <v>465</v>
      </c>
      <c r="J111" s="200" t="s">
        <v>466</v>
      </c>
      <c r="K111" s="200" t="s">
        <v>467</v>
      </c>
    </row>
    <row r="112" spans="1:12" s="189" customFormat="1" ht="15" customHeight="1" x14ac:dyDescent="0.15">
      <c r="A112" s="36" t="str">
        <f>Organization!$A$53</f>
        <v>PPPR-01</v>
      </c>
      <c r="B112" s="37" t="str">
        <f>VLOOKUP($A112,Organization!$A$13:$E$67,2,0)&amp;""</f>
        <v>Do you have a documented patch management process?*</v>
      </c>
      <c r="C112" s="198" t="str">
        <f>VLOOKUP($A112,Organization!$A$13:$E$67,3,0)&amp;""</f>
        <v>Yes</v>
      </c>
      <c r="D112" s="70" t="str">
        <f>IF(LEFT(VLOOKUP($A112,Organization!$A$13:$E$67,5,0),21)='Auto Responses'!$A$32,'Auto Responses'!$A$33,VLOOKUP($A112,Organization!$A$13:$E$67,4,0))&amp;""</f>
        <v>Updates addressing known issues are released as needed; there is no separate formal written patch-management policy beyond this practice.</v>
      </c>
      <c r="E112" s="204" t="str">
        <f>VLOOKUP($A112,Organization!$A$13:$E$67,5,0)&amp;""</f>
        <v/>
      </c>
      <c r="F112" s="210"/>
      <c r="G112" s="196" t="str">
        <f>VLOOKUP($A112,Questions!$A$2:$X$333,21,0)&amp;""</f>
        <v>Yes</v>
      </c>
      <c r="H112" s="197"/>
      <c r="I112" s="198" t="str">
        <f>VLOOKUP($A112,Questions!$A$2:$X$333,23,0)&amp;""</f>
        <v>Critical Importance</v>
      </c>
      <c r="J112" s="197"/>
      <c r="K112" s="199" t="b">
        <f>FALSE()</f>
        <v>0</v>
      </c>
      <c r="L112" s="3"/>
    </row>
    <row r="113" spans="1:12" s="189" customFormat="1" ht="27" customHeight="1" x14ac:dyDescent="0.15">
      <c r="A113" s="36" t="str">
        <f>Organization!$A$54</f>
        <v>PPPR-02</v>
      </c>
      <c r="B113" s="37" t="str">
        <f>VLOOKUP($A113,Organization!$A$13:$E$67,2,0)&amp;""</f>
        <v>Can your organization comply with institutional policies on privacy and data protection with regard to users of institutional systems, if required?*</v>
      </c>
      <c r="C113" s="198" t="str">
        <f>VLOOKUP($A113,Organization!$A$13:$E$67,3,0)&amp;""</f>
        <v>Yes</v>
      </c>
      <c r="D113" s="70" t="str">
        <f>IF(LEFT(VLOOKUP($A113,Organization!$A$13:$E$67,5,0),21)='Auto Responses'!$A$32,'Auto Responses'!$A$33,VLOOKUP($A113,Organization!$A$13:$E$67,4,0))&amp;""</f>
        <v>SmartPLS GmbH will work with institutions to accommodate reasonable privacy and data-protection requirements.</v>
      </c>
      <c r="E113" s="204" t="str">
        <f>VLOOKUP($A113,Organization!$A$13:$E$67,5,0)&amp;""</f>
        <v>State that you have reviewed the institution's IT policies with regards to user privacy and data protection.</v>
      </c>
      <c r="F113" s="210"/>
      <c r="G113" s="196" t="str">
        <f>VLOOKUP($A113,Questions!$A$2:$X$333,21,0)&amp;""</f>
        <v>Yes</v>
      </c>
      <c r="H113" s="197"/>
      <c r="I113" s="198" t="str">
        <f>VLOOKUP($A113,Questions!$A$2:$X$333,23,0)&amp;""</f>
        <v>Critical Importance</v>
      </c>
      <c r="J113" s="197"/>
      <c r="K113" s="199" t="b">
        <f>FALSE()</f>
        <v>0</v>
      </c>
      <c r="L113" s="3"/>
    </row>
    <row r="114" spans="1:12" s="189" customFormat="1" ht="45" customHeight="1" x14ac:dyDescent="0.15">
      <c r="A114" s="36" t="str">
        <f>Organization!$A$55</f>
        <v>PPPR-03</v>
      </c>
      <c r="B114" s="37" t="str">
        <f>VLOOKUP($A114,Organization!$A$13:$E$67,2,0)&amp;""</f>
        <v>Is your company subject to the institution's geographic region's laws and regulations?*</v>
      </c>
      <c r="C114" s="198" t="str">
        <f>VLOOKUP($A114,Organization!$A$13:$E$67,3,0)&amp;""</f>
        <v>Yes</v>
      </c>
      <c r="D114" s="70" t="str">
        <f>IF(LEFT(VLOOKUP($A114,Organization!$A$13:$E$67,5,0),21)='Auto Responses'!$A$32,'Auto Responses'!$A$33,VLOOKUP($A114,Organization!$A$13:$E$67,4,0))&amp;""</f>
        <v>SmartPLS GmbH is subject to German and EU law (including GDPR) and will contractually agree to comply with applicable requirements of an institution’s jurisdiction as needed.</v>
      </c>
      <c r="E114" s="204" t="str">
        <f>VLOOKUP($A114,Organization!$A$13:$E$67,5,0)&amp;""</f>
        <v>State the country that governs and regulates your company.</v>
      </c>
      <c r="F114" s="210"/>
      <c r="G114" s="196" t="str">
        <f>VLOOKUP($A114,Questions!$A$2:$X$333,21,0)&amp;""</f>
        <v>Yes</v>
      </c>
      <c r="H114" s="197"/>
      <c r="I114" s="198" t="str">
        <f>VLOOKUP($A114,Questions!$A$2:$X$333,23,0)&amp;""</f>
        <v>Critical Importance</v>
      </c>
      <c r="J114" s="197"/>
      <c r="K114" s="199" t="b">
        <f>FALSE()</f>
        <v>0</v>
      </c>
      <c r="L114" s="3"/>
    </row>
    <row r="115" spans="1:12" s="189" customFormat="1" ht="15" customHeight="1" x14ac:dyDescent="0.15">
      <c r="A115" s="36" t="str">
        <f>Organization!$A$56</f>
        <v>PPPR-04</v>
      </c>
      <c r="B115" s="37" t="str">
        <f>VLOOKUP($A115,Organization!$A$13:$E$67,2,0)&amp;""</f>
        <v>Can you accommodate encryption requirements using open standards?</v>
      </c>
      <c r="C115" s="198" t="str">
        <f>VLOOKUP($A115,Organization!$A$13:$E$67,3,0)&amp;""</f>
        <v>Yes</v>
      </c>
      <c r="D115" s="70" t="str">
        <f>IF(LEFT(VLOOKUP($A115,Organization!$A$13:$E$67,5,0),21)='Auto Responses'!$A$32,'Auto Responses'!$A$33,VLOOKUP($A115,Organization!$A$13:$E$67,4,0))&amp;""</f>
        <v>Standard open encryption protocols (e.g., TLS) are used for data in transit to our servers.</v>
      </c>
      <c r="E115" s="204" t="str">
        <f>VLOOKUP($A115,Organization!$A$13:$E$67,5,0)&amp;""</f>
        <v/>
      </c>
      <c r="F115" s="210"/>
      <c r="G115" s="196" t="str">
        <f>VLOOKUP($A115,Questions!$A$2:$X$333,21,0)&amp;""</f>
        <v>Yes</v>
      </c>
      <c r="H115" s="197"/>
      <c r="I115" s="198" t="str">
        <f>VLOOKUP($A115,Questions!$A$2:$X$333,23,0)&amp;""</f>
        <v>Standard Importance</v>
      </c>
      <c r="J115" s="197"/>
      <c r="K115" s="199" t="b">
        <f>FALSE()</f>
        <v>0</v>
      </c>
      <c r="L115" s="3"/>
    </row>
    <row r="116" spans="1:12" s="189" customFormat="1" ht="15" customHeight="1" x14ac:dyDescent="0.15">
      <c r="A116" s="36" t="str">
        <f>Organization!$A$57</f>
        <v>PPPR-05</v>
      </c>
      <c r="B116" s="37" t="str">
        <f>VLOOKUP($A116,Organization!$A$13:$E$67,2,0)&amp;""</f>
        <v>Do you have a documented systems development life cycle (SDLC)?</v>
      </c>
      <c r="C116" s="198" t="str">
        <f>VLOOKUP($A116,Organization!$A$13:$E$67,3,0)&amp;""</f>
        <v>No</v>
      </c>
      <c r="D116" s="70" t="str">
        <f>IF(LEFT(VLOOKUP($A116,Organization!$A$13:$E$67,5,0),21)='Auto Responses'!$A$32,'Auto Responses'!$A$33,VLOOKUP($A116,Organization!$A$13:$E$67,4,0))&amp;""</f>
        <v/>
      </c>
      <c r="E116" s="204" t="str">
        <f>VLOOKUP($A116,Organization!$A$13:$E$67,5,0)&amp;""</f>
        <v>State any plans to implement an SDLC.</v>
      </c>
      <c r="F116" s="210"/>
      <c r="G116" s="196" t="str">
        <f>VLOOKUP($A116,Questions!$A$2:$X$333,21,0)&amp;""</f>
        <v>Yes</v>
      </c>
      <c r="H116" s="197"/>
      <c r="I116" s="198" t="str">
        <f>VLOOKUP($A116,Questions!$A$2:$X$333,23,0)&amp;""</f>
        <v>Standard Importance</v>
      </c>
      <c r="J116" s="197"/>
      <c r="K116" s="199" t="b">
        <f>FALSE()</f>
        <v>0</v>
      </c>
      <c r="L116" s="3"/>
    </row>
    <row r="117" spans="1:12" s="189" customFormat="1" ht="27" customHeight="1" x14ac:dyDescent="0.15">
      <c r="A117" s="36" t="str">
        <f>Organization!$A$58</f>
        <v>PPPR-06</v>
      </c>
      <c r="B117" s="37" t="str">
        <f>VLOOKUP($A117,Organization!$A$13:$E$67,2,0)&amp;""</f>
        <v>Do you perform background screenings or multi-state background checks on all employees prior to their first day of work?</v>
      </c>
      <c r="C117" s="198" t="str">
        <f>VLOOKUP($A117,Organization!$A$13:$E$67,3,0)&amp;""</f>
        <v>No</v>
      </c>
      <c r="D117" s="70" t="str">
        <f>IF(LEFT(VLOOKUP($A117,Organization!$A$13:$E$67,5,0),21)='Auto Responses'!$A$32,'Auto Responses'!$A$33,VLOOKUP($A117,Organization!$A$13:$E$67,4,0))&amp;""</f>
        <v/>
      </c>
      <c r="E117" s="204" t="str">
        <f>VLOOKUP($A117,Organization!$A$13:$E$67,5,0)&amp;""</f>
        <v>State plans to implement background check elements into your hiring process.</v>
      </c>
      <c r="F117" s="210"/>
      <c r="G117" s="196" t="str">
        <f>VLOOKUP($A117,Questions!$A$2:$X$333,21,0)&amp;""</f>
        <v>Yes</v>
      </c>
      <c r="H117" s="197"/>
      <c r="I117" s="198" t="str">
        <f>VLOOKUP($A117,Questions!$A$2:$X$333,23,0)&amp;""</f>
        <v>Standard Importance</v>
      </c>
      <c r="J117" s="197"/>
      <c r="K117" s="199" t="b">
        <f>FALSE()</f>
        <v>0</v>
      </c>
      <c r="L117" s="3"/>
    </row>
    <row r="118" spans="1:12" s="189" customFormat="1" ht="15" customHeight="1" x14ac:dyDescent="0.15">
      <c r="A118" s="36" t="str">
        <f>Organization!$A$59</f>
        <v>PPPR-07</v>
      </c>
      <c r="B118" s="37" t="str">
        <f>VLOOKUP($A118,Organization!$A$13:$E$67,2,0)&amp;""</f>
        <v>Do you require new employees to fill out agreements and review policies?</v>
      </c>
      <c r="C118" s="198" t="str">
        <f>VLOOKUP($A118,Organization!$A$13:$E$67,3,0)&amp;""</f>
        <v>No</v>
      </c>
      <c r="D118" s="70" t="str">
        <f>IF(LEFT(VLOOKUP($A118,Organization!$A$13:$E$67,5,0),21)='Auto Responses'!$A$32,'Auto Responses'!$A$33,VLOOKUP($A118,Organization!$A$13:$E$67,4,0))&amp;""</f>
        <v/>
      </c>
      <c r="E118" s="204" t="str">
        <f>VLOOKUP($A118,Organization!$A$13:$E$67,5,0)&amp;""</f>
        <v>Summarize why new employees are not required to accept agreements or review policy.</v>
      </c>
      <c r="F118" s="210"/>
      <c r="G118" s="196" t="str">
        <f>VLOOKUP($A118,Questions!$A$2:$X$333,21,0)&amp;""</f>
        <v>Yes</v>
      </c>
      <c r="H118" s="197"/>
      <c r="I118" s="198" t="str">
        <f>VLOOKUP($A118,Questions!$A$2:$X$333,23,0)&amp;""</f>
        <v>Standard Importance</v>
      </c>
      <c r="J118" s="197"/>
      <c r="K118" s="199" t="b">
        <f>FALSE()</f>
        <v>0</v>
      </c>
      <c r="L118" s="3"/>
    </row>
    <row r="119" spans="1:12" s="189" customFormat="1" ht="15" customHeight="1" x14ac:dyDescent="0.15">
      <c r="A119" s="36" t="str">
        <f>Organization!$A$60</f>
        <v>PPPR-08</v>
      </c>
      <c r="B119" s="37" t="str">
        <f>VLOOKUP($A119,Organization!$A$13:$E$67,2,0)&amp;""</f>
        <v>Do you have a documented information security policy?</v>
      </c>
      <c r="C119" s="198" t="str">
        <f>VLOOKUP($A119,Organization!$A$13:$E$67,3,0)&amp;""</f>
        <v>No</v>
      </c>
      <c r="D119" s="70" t="str">
        <f>IF(LEFT(VLOOKUP($A119,Organization!$A$13:$E$67,5,0),21)='Auto Responses'!$A$32,'Auto Responses'!$A$33,VLOOKUP($A119,Organization!$A$13:$E$67,4,0))&amp;""</f>
        <v/>
      </c>
      <c r="E119" s="204" t="str">
        <f>VLOOKUP($A119,Organization!$A$13:$E$67,5,0)&amp;""</f>
        <v>State plans to implement information security policy at your company.</v>
      </c>
      <c r="F119" s="210"/>
      <c r="G119" s="196" t="str">
        <f>VLOOKUP($A119,Questions!$A$2:$X$333,21,0)&amp;""</f>
        <v>Yes</v>
      </c>
      <c r="H119" s="197"/>
      <c r="I119" s="198" t="str">
        <f>VLOOKUP($A119,Questions!$A$2:$X$333,23,0)&amp;""</f>
        <v>Standard Importance</v>
      </c>
      <c r="J119" s="197"/>
      <c r="K119" s="199" t="b">
        <f>FALSE()</f>
        <v>0</v>
      </c>
      <c r="L119" s="3"/>
    </row>
    <row r="120" spans="1:12" s="189" customFormat="1" ht="15" customHeight="1" x14ac:dyDescent="0.15">
      <c r="A120" s="36" t="str">
        <f>Organization!$A$61</f>
        <v>PPPR-09</v>
      </c>
      <c r="B120" s="37" t="str">
        <f>VLOOKUP($A120,Organization!$A$13:$E$67,2,0)&amp;""</f>
        <v>Are information security principles designed into the product lifecycle?</v>
      </c>
      <c r="C120" s="198" t="str">
        <f>VLOOKUP($A120,Organization!$A$13:$E$67,3,0)&amp;""</f>
        <v>Yes</v>
      </c>
      <c r="D120" s="70" t="str">
        <f>IF(LEFT(VLOOKUP($A120,Organization!$A$13:$E$67,5,0),21)='Auto Responses'!$A$32,'Auto Responses'!$A$33,VLOOKUP($A120,Organization!$A$13:$E$67,4,0))&amp;""</f>
        <v>Basic security considerations (e.g., least-privilege access, encrypted connections) are taken into account during development.</v>
      </c>
      <c r="E120" s="204" t="str">
        <f>VLOOKUP($A120,Organization!$A$13:$E$67,5,0)&amp;""</f>
        <v>Summarize the information security principles designed into the product lifecycle.</v>
      </c>
      <c r="F120" s="210"/>
      <c r="G120" s="196" t="str">
        <f>VLOOKUP($A120,Questions!$A$2:$X$333,21,0)&amp;""</f>
        <v>Yes</v>
      </c>
      <c r="H120" s="197"/>
      <c r="I120" s="198" t="str">
        <f>VLOOKUP($A120,Questions!$A$2:$X$333,23,0)&amp;""</f>
        <v>Minor Importance</v>
      </c>
      <c r="J120" s="197"/>
      <c r="K120" s="199" t="b">
        <f>FALSE()</f>
        <v>0</v>
      </c>
      <c r="L120" s="3"/>
    </row>
    <row r="121" spans="1:12" s="189" customFormat="1" ht="15" customHeight="1" x14ac:dyDescent="0.15">
      <c r="A121" s="36" t="str">
        <f>Organization!$A$62</f>
        <v>PPPR-10</v>
      </c>
      <c r="B121" s="37" t="str">
        <f>VLOOKUP($A121,Organization!$A$13:$E$67,2,0)&amp;""</f>
        <v>Will you comply with applicable breach notification laws?</v>
      </c>
      <c r="C121" s="198" t="str">
        <f>VLOOKUP($A121,Organization!$A$13:$E$67,3,0)&amp;""</f>
        <v>Yes</v>
      </c>
      <c r="D121" s="70" t="str">
        <f>IF(LEFT(VLOOKUP($A121,Organization!$A$13:$E$67,5,0),21)='Auto Responses'!$A$32,'Auto Responses'!$A$33,VLOOKUP($A121,Organization!$A$13:$E$67,4,0))&amp;""</f>
        <v>SmartPLS GmbH will comply with applicable breach-notification laws, including under GDPR.</v>
      </c>
      <c r="E121" s="204" t="str">
        <f>VLOOKUP($A121,Organization!$A$13:$E$67,5,0)&amp;""</f>
        <v>State how quickly the institution will be notified of a data breach or security incident.</v>
      </c>
      <c r="F121" s="210"/>
      <c r="G121" s="196" t="str">
        <f>VLOOKUP($A121,Questions!$A$2:$X$333,21,0)&amp;""</f>
        <v>Yes</v>
      </c>
      <c r="H121" s="197"/>
      <c r="I121" s="198" t="str">
        <f>VLOOKUP($A121,Questions!$A$2:$X$333,23,0)&amp;""</f>
        <v>Minor Importance</v>
      </c>
      <c r="J121" s="197"/>
      <c r="K121" s="199" t="b">
        <f>FALSE()</f>
        <v>0</v>
      </c>
      <c r="L121" s="3"/>
    </row>
    <row r="122" spans="1:12" s="189" customFormat="1" ht="15" customHeight="1" x14ac:dyDescent="0.15">
      <c r="A122" s="36" t="str">
        <f>Organization!$A$63</f>
        <v>PPPR-11</v>
      </c>
      <c r="B122" s="37" t="str">
        <f>VLOOKUP($A122,Organization!$A$13:$E$67,2,0)&amp;""</f>
        <v>Do you have an information security awareness program?</v>
      </c>
      <c r="C122" s="198" t="str">
        <f>VLOOKUP($A122,Organization!$A$13:$E$67,3,0)&amp;""</f>
        <v>No</v>
      </c>
      <c r="D122" s="70" t="str">
        <f>IF(LEFT(VLOOKUP($A122,Organization!$A$13:$E$67,5,0),21)='Auto Responses'!$A$32,'Auto Responses'!$A$33,VLOOKUP($A122,Organization!$A$13:$E$67,4,0))&amp;""</f>
        <v/>
      </c>
      <c r="E122" s="204" t="str">
        <f>VLOOKUP($A122,Organization!$A$13:$E$67,5,0)&amp;""</f>
        <v>State plans to implement an information security awareness program.</v>
      </c>
      <c r="F122" s="210"/>
      <c r="G122" s="196" t="str">
        <f>VLOOKUP($A122,Questions!$A$2:$X$333,21,0)&amp;""</f>
        <v>Yes</v>
      </c>
      <c r="H122" s="197"/>
      <c r="I122" s="198" t="str">
        <f>VLOOKUP($A122,Questions!$A$2:$X$333,23,0)&amp;""</f>
        <v>Minor Importance</v>
      </c>
      <c r="J122" s="197"/>
      <c r="K122" s="199" t="b">
        <f>FALSE()</f>
        <v>0</v>
      </c>
      <c r="L122" s="3"/>
    </row>
    <row r="123" spans="1:12" s="189" customFormat="1" ht="15" customHeight="1" x14ac:dyDescent="0.15">
      <c r="A123" s="36" t="str">
        <f>Organization!$A$64</f>
        <v>PPPR-12</v>
      </c>
      <c r="B123" s="37" t="str">
        <f>VLOOKUP($A123,Organization!$A$13:$E$67,2,0)&amp;""</f>
        <v>Is security awareness training mandatory for all employees?</v>
      </c>
      <c r="C123" s="198" t="str">
        <f>VLOOKUP($A123,Organization!$A$13:$E$67,3,0)&amp;""</f>
        <v>No</v>
      </c>
      <c r="D123" s="70" t="str">
        <f>IF(LEFT(VLOOKUP($A123,Organization!$A$13:$E$67,5,0),21)='Auto Responses'!$A$32,'Auto Responses'!$A$33,VLOOKUP($A123,Organization!$A$13:$E$67,4,0))&amp;""</f>
        <v/>
      </c>
      <c r="E123" s="204" t="str">
        <f>VLOOKUP($A123,Organization!$A$13:$E$67,5,0)&amp;""</f>
        <v>State plans to make security awareness training mandatory for all employees.</v>
      </c>
      <c r="F123" s="210"/>
      <c r="G123" s="196" t="str">
        <f>VLOOKUP($A123,Questions!$A$2:$X$333,21,0)&amp;""</f>
        <v>Yes</v>
      </c>
      <c r="H123" s="197"/>
      <c r="I123" s="198" t="str">
        <f>VLOOKUP($A123,Questions!$A$2:$X$333,23,0)&amp;""</f>
        <v>Minor Importance</v>
      </c>
      <c r="J123" s="197"/>
      <c r="K123" s="199" t="b">
        <f>FALSE()</f>
        <v>0</v>
      </c>
      <c r="L123" s="3"/>
    </row>
    <row r="124" spans="1:12" s="189" customFormat="1" ht="40.5" customHeight="1" x14ac:dyDescent="0.15">
      <c r="A124" s="36" t="str">
        <f>Organization!$A$65</f>
        <v>PPPR-13</v>
      </c>
      <c r="B124" s="37" t="str">
        <f>VLOOKUP($A124,Organization!$A$13:$E$67,2,0)&amp;""</f>
        <v>Do you have process and procedure(s) documented, and currently followed, that require a review and update of the access list(s) for privileged accounts?</v>
      </c>
      <c r="C124" s="198" t="str">
        <f>VLOOKUP($A124,Organization!$A$13:$E$67,3,0)&amp;""</f>
        <v>No</v>
      </c>
      <c r="D124" s="70" t="str">
        <f>IF(LEFT(VLOOKUP($A124,Organization!$A$13:$E$67,5,0),21)='Auto Responses'!$A$32,'Auto Responses'!$A$33,VLOOKUP($A124,Organization!$A$13:$E$67,4,0))&amp;""</f>
        <v/>
      </c>
      <c r="E124" s="204" t="str">
        <f>VLOOKUP($A124,Organization!$A$13:$E$67,5,0)&amp;""</f>
        <v>Describe plans to implement privileged account access list reviews to your environment.</v>
      </c>
      <c r="F124" s="210"/>
      <c r="G124" s="196" t="str">
        <f>VLOOKUP($A124,Questions!$A$2:$X$333,21,0)&amp;""</f>
        <v>Yes</v>
      </c>
      <c r="H124" s="197"/>
      <c r="I124" s="198" t="str">
        <f>VLOOKUP($A124,Questions!$A$2:$X$333,23,0)&amp;""</f>
        <v>Minor Importance</v>
      </c>
      <c r="J124" s="197"/>
      <c r="K124" s="199" t="b">
        <f>FALSE()</f>
        <v>0</v>
      </c>
      <c r="L124" s="3"/>
    </row>
    <row r="125" spans="1:12" s="189" customFormat="1" ht="27" customHeight="1" x14ac:dyDescent="0.15">
      <c r="A125" s="36" t="str">
        <f>Organization!$A$66</f>
        <v>PPPR-14</v>
      </c>
      <c r="B125" s="37" t="str">
        <f>VLOOKUP($A125,Organization!$A$13:$E$67,2,0)&amp;""</f>
        <v>Do you have documented, and currently implemented, internal audit processes and procedures?</v>
      </c>
      <c r="C125" s="198" t="str">
        <f>VLOOKUP($A125,Organization!$A$13:$E$67,3,0)&amp;""</f>
        <v>No</v>
      </c>
      <c r="D125" s="70" t="str">
        <f>IF(LEFT(VLOOKUP($A125,Organization!$A$13:$E$67,5,0),21)='Auto Responses'!$A$32,'Auto Responses'!$A$33,VLOOKUP($A125,Organization!$A$13:$E$67,4,0))&amp;""</f>
        <v/>
      </c>
      <c r="E125" s="204" t="str">
        <f>VLOOKUP($A125,Organization!$A$13:$E$67,5,0)&amp;""</f>
        <v>State plans to document and implement internal audit process and procedure in your environment.</v>
      </c>
      <c r="F125" s="210"/>
      <c r="G125" s="196" t="str">
        <f>VLOOKUP($A125,Questions!$A$2:$X$333,21,0)&amp;""</f>
        <v>Yes</v>
      </c>
      <c r="H125" s="197"/>
      <c r="I125" s="198" t="str">
        <f>VLOOKUP($A125,Questions!$A$2:$X$333,23,0)&amp;""</f>
        <v>Minor Importance</v>
      </c>
      <c r="J125" s="197"/>
      <c r="K125" s="199" t="b">
        <f>FALSE()</f>
        <v>0</v>
      </c>
      <c r="L125" s="3"/>
    </row>
    <row r="126" spans="1:12" s="189" customFormat="1" ht="27" customHeight="1" x14ac:dyDescent="0.15">
      <c r="A126" s="36" t="str">
        <f>Organization!$A$67</f>
        <v>PPPR-15</v>
      </c>
      <c r="B126" s="37" t="str">
        <f>VLOOKUP($A126,Organization!$A$13:$E$67,2,0)&amp;""</f>
        <v>Does your organization have physical security controls and policies in place?</v>
      </c>
      <c r="C126" s="198" t="str">
        <f>VLOOKUP($A126,Organization!$A$13:$E$67,3,0)&amp;""</f>
        <v>Yes</v>
      </c>
      <c r="D126" s="70" t="str">
        <f>IF(LEFT(VLOOKUP($A126,Organization!$A$13:$E$67,5,0),21)='Auto Responses'!$A$32,'Auto Responses'!$A$33,VLOOKUP($A126,Organization!$A$13:$E$67,4,0))&amp;""</f>
        <v>As a small, distributed team working from private home/office premises, physical security consists of standard locked premises; there are no shared offices or data centers to secure.</v>
      </c>
      <c r="E126" s="204" t="str">
        <f>VLOOKUP($A126,Organization!$A$13:$E$67,5,0)&amp;""</f>
        <v>Provide a copy of your physical security controls and policies along with this document (link or attached).</v>
      </c>
      <c r="F126" s="210"/>
      <c r="G126" s="196" t="str">
        <f>VLOOKUP($A126,Questions!$A$2:$X$333,21,0)&amp;""</f>
        <v>Yes</v>
      </c>
      <c r="H126" s="197"/>
      <c r="I126" s="198" t="str">
        <f>VLOOKUP($A126,Questions!$A$2:$X$333,23,0)&amp;""</f>
        <v>Minor Importance</v>
      </c>
      <c r="J126" s="197"/>
      <c r="K126" s="211" t="b">
        <f>FALSE()</f>
        <v>0</v>
      </c>
      <c r="L126" s="3"/>
    </row>
    <row r="127" spans="1:12" s="3" customFormat="1" ht="17.25" customHeight="1" x14ac:dyDescent="0.15">
      <c r="A127" s="32" t="str">
        <f>VLOOKUP(LEFT($A128,4),'Auto Responses'!$N$4:$O$38,2,0)&amp;""</f>
        <v xml:space="preserve"> Authentication, Authorization, and Account Management</v>
      </c>
      <c r="B127" s="41"/>
      <c r="C127" s="42"/>
      <c r="D127" s="42"/>
      <c r="E127" s="203"/>
      <c r="F127" s="191" t="s">
        <v>468</v>
      </c>
      <c r="G127" s="200" t="s">
        <v>463</v>
      </c>
      <c r="H127" s="200" t="s">
        <v>464</v>
      </c>
      <c r="I127" s="200" t="s">
        <v>465</v>
      </c>
      <c r="J127" s="200" t="s">
        <v>466</v>
      </c>
      <c r="K127" s="200" t="s">
        <v>467</v>
      </c>
    </row>
    <row r="128" spans="1:12" s="189" customFormat="1" ht="165" customHeight="1" x14ac:dyDescent="0.15">
      <c r="A128" s="36" t="str">
        <f>Product!$A$20</f>
        <v>AAAI-01</v>
      </c>
      <c r="B128" s="37" t="str">
        <f>VLOOKUP($A128,Product!$A$13:$E$61,2,0)&amp;""</f>
        <v>Does your solution support single sign-on (SSO) protocols for user and administrator authentication?*</v>
      </c>
      <c r="C128" s="198" t="str">
        <f>VLOOKUP($A128,Product!$A$13:$E$61,3,0)&amp;""</f>
        <v>N/A</v>
      </c>
      <c r="D128" s="70" t="str">
        <f>IF(LEFT(VLOOKUP($A128,Product!$A$13:$E$61,5,0),21)='Auto Responses'!$A$32,'Auto Responses'!$A$33,VLOOKUP($A128,Product!$A$13:$E$61,4,0))&amp;""</f>
        <v>This question does not apply.</v>
      </c>
      <c r="E128" s="204" t="str">
        <f>VLOOKUP($A128,Product!$A$13:$E$61,5,0)&amp;""</f>
        <v xml:space="preserve">Based on the response to REQU-01 on the "START HERE" tab, this question does not apply to this product or service. </v>
      </c>
      <c r="F128" s="210"/>
      <c r="G128" s="196" t="str">
        <f>VLOOKUP($A128,Questions!$A$2:$X$333,21,0)&amp;""</f>
        <v>Yes</v>
      </c>
      <c r="H128" s="197"/>
      <c r="I128" s="198" t="str">
        <f>VLOOKUP($A128,Questions!$A$2:$X$333,23,0)&amp;""</f>
        <v>Critical Importance</v>
      </c>
      <c r="J128" s="197"/>
      <c r="K128" s="199" t="b">
        <f>FALSE()</f>
        <v>0</v>
      </c>
      <c r="L128" s="3"/>
    </row>
    <row r="129" spans="1:12" s="189" customFormat="1" ht="27" customHeight="1" x14ac:dyDescent="0.15">
      <c r="A129" s="36" t="str">
        <f>Product!$A$21</f>
        <v>AAAI-02</v>
      </c>
      <c r="B129" s="37" t="str">
        <f>VLOOKUP($A129,Product!$A$13:$E$61,2,0)&amp;""</f>
        <v>For customers not using SSO, does your solution support local authentication protocols for user and administrator authentication?*</v>
      </c>
      <c r="C129" s="198" t="str">
        <f>VLOOKUP($A129,Product!$A$13:$E$61,3,0)&amp;""</f>
        <v>N/A</v>
      </c>
      <c r="D129" s="70" t="str">
        <f>IF(LEFT(VLOOKUP($A129,Product!$A$13:$E$61,5,0),21)='Auto Responses'!$A$32,'Auto Responses'!$A$33,VLOOKUP($A129,Product!$A$13:$E$61,4,0))&amp;""</f>
        <v/>
      </c>
      <c r="E129" s="204" t="str">
        <f>VLOOKUP($A129,Product!$A$13:$E$61,5,0)&amp;""</f>
        <v xml:space="preserve">N/A is only an acceptable answer if SSO is the only way users are able to log into your product. </v>
      </c>
      <c r="F129" s="210"/>
      <c r="G129" s="196" t="str">
        <f>VLOOKUP($A129,Questions!$A$2:$X$333,21,0)&amp;""</f>
        <v>Yes</v>
      </c>
      <c r="H129" s="197"/>
      <c r="I129" s="198" t="str">
        <f>VLOOKUP($A129,Questions!$A$2:$X$333,23,0)&amp;""</f>
        <v>Critical Importance</v>
      </c>
      <c r="J129" s="197"/>
      <c r="K129" s="199" t="b">
        <f>FALSE()</f>
        <v>0</v>
      </c>
      <c r="L129" s="3"/>
    </row>
    <row r="130" spans="1:12" s="189" customFormat="1" ht="27" customHeight="1" x14ac:dyDescent="0.15">
      <c r="A130" s="36" t="str">
        <f>Product!$A$22</f>
        <v>AAAI-03</v>
      </c>
      <c r="B130" s="37" t="str">
        <f>VLOOKUP($A130,Product!$A$13:$E$61,2,0)&amp;""</f>
        <v>For customers not using SSO, can you enforce password/passphrase complexity requirements (provided by the institution)?*</v>
      </c>
      <c r="C130" s="198" t="str">
        <f>VLOOKUP($A130,Product!$A$13:$E$61,3,0)&amp;""</f>
        <v>N/A</v>
      </c>
      <c r="D130" s="70" t="str">
        <f>IF(LEFT(VLOOKUP($A130,Product!$A$13:$E$61,5,0),21)='Auto Responses'!$A$32,'Auto Responses'!$A$33,VLOOKUP($A130,Product!$A$13:$E$61,4,0))&amp;""</f>
        <v/>
      </c>
      <c r="E130" s="204" t="str">
        <f>VLOOKUP($A130,Product!$A$13:$E$61,5,0)&amp;""</f>
        <v xml:space="preserve">N/A is only an acceptable answer if SSO is the only way users are able to log into your product. </v>
      </c>
      <c r="F130" s="210"/>
      <c r="G130" s="196" t="str">
        <f>VLOOKUP($A130,Questions!$A$2:$X$333,21,0)&amp;""</f>
        <v>Yes</v>
      </c>
      <c r="H130" s="197"/>
      <c r="I130" s="198" t="str">
        <f>VLOOKUP($A130,Questions!$A$2:$X$333,23,0)&amp;""</f>
        <v>Critical Importance</v>
      </c>
      <c r="J130" s="197"/>
      <c r="K130" s="199" t="b">
        <f>FALSE()</f>
        <v>0</v>
      </c>
      <c r="L130" s="3"/>
    </row>
    <row r="131" spans="1:12" s="189" customFormat="1" ht="105" customHeight="1" x14ac:dyDescent="0.15">
      <c r="A131" s="36" t="str">
        <f>Product!$A$23</f>
        <v>AAAI-04</v>
      </c>
      <c r="B131" s="37" t="str">
        <f>VLOOKUP($A131,Product!$A$13:$E$61,2,0)&amp;""</f>
        <v>For customers not using SSO, does the system have password complexity or length limitations and/or restrictions?*</v>
      </c>
      <c r="C131" s="198" t="str">
        <f>VLOOKUP($A131,Product!$A$13:$E$61,3,0)&amp;""</f>
        <v>N/A</v>
      </c>
      <c r="D131" s="70" t="str">
        <f>IF(LEFT(VLOOKUP($A131,Product!$A$13:$E$61,5,0),21)='Auto Responses'!$A$32,'Auto Responses'!$A$33,VLOOKUP($A131,Product!$A$13:$E$61,4,0))&amp;""</f>
        <v/>
      </c>
      <c r="E131" s="204" t="str">
        <f>VLOOKUP($A131,Product!$A$13:$E$61,5,0)&amp;""</f>
        <v xml:space="preserve">N/A is only an acceptable answer if SSO is the only way users are able to log into your product. </v>
      </c>
      <c r="F131" s="210"/>
      <c r="G131" s="196" t="str">
        <f>VLOOKUP($A131,Questions!$A$2:$X$333,21,0)&amp;""</f>
        <v>No</v>
      </c>
      <c r="H131" s="197"/>
      <c r="I131" s="198" t="str">
        <f>VLOOKUP($A131,Questions!$A$2:$X$333,23,0)&amp;""</f>
        <v>Critical Importance</v>
      </c>
      <c r="J131" s="197"/>
      <c r="K131" s="199" t="b">
        <f>FALSE()</f>
        <v>0</v>
      </c>
      <c r="L131" s="3"/>
    </row>
    <row r="132" spans="1:12" s="189" customFormat="1" ht="40.5" customHeight="1" x14ac:dyDescent="0.15">
      <c r="A132" s="36" t="str">
        <f>Product!$A$24</f>
        <v>AAAI-05</v>
      </c>
      <c r="B132" s="37" t="str">
        <f>VLOOKUP($A132,Product!$A$13:$E$61,2,0)&amp;""</f>
        <v>For customers not using SSO, do you have documented password/passphrase reset procedures that are currently implemented in the system and/or customer support?*</v>
      </c>
      <c r="C132" s="198" t="str">
        <f>VLOOKUP($A132,Product!$A$13:$E$61,3,0)&amp;""</f>
        <v>N/A</v>
      </c>
      <c r="D132" s="70" t="str">
        <f>IF(LEFT(VLOOKUP($A132,Product!$A$13:$E$61,5,0),21)='Auto Responses'!$A$32,'Auto Responses'!$A$33,VLOOKUP($A132,Product!$A$13:$E$61,4,0))&amp;""</f>
        <v/>
      </c>
      <c r="E132" s="204" t="str">
        <f>VLOOKUP($A132,Product!$A$13:$E$61,5,0)&amp;""</f>
        <v xml:space="preserve">N/A is only an acceptable answer if SSO is the only way users are able to log into your product. </v>
      </c>
      <c r="F132" s="210"/>
      <c r="G132" s="196" t="str">
        <f>VLOOKUP($A132,Questions!$A$2:$X$333,21,0)&amp;""</f>
        <v>Yes</v>
      </c>
      <c r="H132" s="197"/>
      <c r="I132" s="198" t="str">
        <f>VLOOKUP($A132,Questions!$A$2:$X$333,23,0)&amp;""</f>
        <v>Critical Importance</v>
      </c>
      <c r="J132" s="197"/>
      <c r="K132" s="199" t="b">
        <f>FALSE()</f>
        <v>0</v>
      </c>
      <c r="L132" s="3"/>
    </row>
    <row r="133" spans="1:12" s="189" customFormat="1" ht="27" customHeight="1" x14ac:dyDescent="0.15">
      <c r="A133" s="36" t="str">
        <f>Product!$A$25</f>
        <v>AAAI-06</v>
      </c>
      <c r="B133" s="37" t="str">
        <f>VLOOKUP($A133,Product!$A$13:$E$61,2,0)&amp;""</f>
        <v>Does your organization participate in InCommon or another eduGAIN-affiliated trust federation?*</v>
      </c>
      <c r="C133" s="198" t="str">
        <f>VLOOKUP($A133,Product!$A$13:$E$61,3,0)&amp;""</f>
        <v>N/A</v>
      </c>
      <c r="D133" s="70" t="str">
        <f>IF(LEFT(VLOOKUP($A133,Product!$A$13:$E$61,5,0),21)='Auto Responses'!$A$32,'Auto Responses'!$A$33,VLOOKUP($A133,Product!$A$13:$E$61,4,0))&amp;""</f>
        <v>This question does not apply.</v>
      </c>
      <c r="E133" s="204" t="str">
        <f>VLOOKUP($A133,Product!$A$13:$E$61,5,0)&amp;""</f>
        <v xml:space="preserve">Based on the response to REQU-01 on the "START HERE" tab, this question does not apply to this product or service. </v>
      </c>
      <c r="F133" s="210"/>
      <c r="G133" s="196" t="str">
        <f>VLOOKUP($A133,Questions!$A$2:$X$333,21,0)&amp;""</f>
        <v>Yes</v>
      </c>
      <c r="H133" s="197"/>
      <c r="I133" s="198" t="str">
        <f>VLOOKUP($A133,Questions!$A$2:$X$333,23,0)&amp;""</f>
        <v>Critical Importance</v>
      </c>
      <c r="J133" s="197"/>
      <c r="K133" s="199" t="b">
        <f>FALSE()</f>
        <v>0</v>
      </c>
      <c r="L133" s="3"/>
    </row>
    <row r="134" spans="1:12" s="189" customFormat="1" ht="27" customHeight="1" x14ac:dyDescent="0.15">
      <c r="A134" s="36" t="str">
        <f>Product!$A$26</f>
        <v>AAAI-07</v>
      </c>
      <c r="B134" s="37" t="str">
        <f>VLOOKUP($A134,Product!$A$13:$E$61,2,0)&amp;""</f>
        <v>Are there any passwords/passphrases hard-coded into your systems or solutions?*</v>
      </c>
      <c r="C134" s="198" t="str">
        <f>VLOOKUP($A134,Product!$A$13:$E$61,3,0)&amp;""</f>
        <v>N/A</v>
      </c>
      <c r="D134" s="70" t="str">
        <f>IF(LEFT(VLOOKUP($A134,Product!$A$13:$E$61,5,0),21)='Auto Responses'!$A$32,'Auto Responses'!$A$33,VLOOKUP($A134,Product!$A$13:$E$61,4,0))&amp;""</f>
        <v>This question does not apply.</v>
      </c>
      <c r="E134" s="204" t="str">
        <f>VLOOKUP($A134,Product!$A$13:$E$61,5,0)&amp;""</f>
        <v xml:space="preserve">Based on the response to REQU-01 on the "START HERE" tab, this question does not apply to this product or service. </v>
      </c>
      <c r="F134" s="210"/>
      <c r="G134" s="196" t="str">
        <f>VLOOKUP($A134,Questions!$A$2:$X$333,21,0)&amp;""</f>
        <v>No</v>
      </c>
      <c r="H134" s="197"/>
      <c r="I134" s="198" t="str">
        <f>VLOOKUP($A134,Questions!$A$2:$X$333,23,0)&amp;""</f>
        <v>Critical Importance</v>
      </c>
      <c r="J134" s="197"/>
      <c r="K134" s="199" t="b">
        <f>FALSE()</f>
        <v>0</v>
      </c>
      <c r="L134" s="3"/>
    </row>
    <row r="135" spans="1:12" s="189" customFormat="1" ht="15" customHeight="1" x14ac:dyDescent="0.15">
      <c r="A135" s="36" t="str">
        <f>Product!$A$27</f>
        <v>AAAI-08</v>
      </c>
      <c r="B135" s="37" t="str">
        <f>VLOOKUP($A135,Product!$A$13:$E$61,2,0)&amp;""</f>
        <v>Are you storing any passwords in plaintext?*</v>
      </c>
      <c r="C135" s="198" t="str">
        <f>VLOOKUP($A135,Product!$A$13:$E$61,3,0)&amp;""</f>
        <v>N/A</v>
      </c>
      <c r="D135" s="70" t="str">
        <f>IF(LEFT(VLOOKUP($A135,Product!$A$13:$E$61,5,0),21)='Auto Responses'!$A$32,'Auto Responses'!$A$33,VLOOKUP($A135,Product!$A$13:$E$61,4,0))&amp;""</f>
        <v>This question does not apply.</v>
      </c>
      <c r="E135" s="204" t="str">
        <f>VLOOKUP($A135,Product!$A$13:$E$61,5,0)&amp;""</f>
        <v xml:space="preserve">Based on the response to REQU-01 on the "START HERE" tab, this question does not apply to this product or service. </v>
      </c>
      <c r="F135" s="210"/>
      <c r="G135" s="196" t="str">
        <f>VLOOKUP($A135,Questions!$A$2:$X$333,21,0)&amp;""</f>
        <v>No</v>
      </c>
      <c r="H135" s="197"/>
      <c r="I135" s="198" t="str">
        <f>VLOOKUP($A135,Questions!$A$2:$X$333,23,0)&amp;""</f>
        <v>Critical Importance</v>
      </c>
      <c r="J135" s="197"/>
      <c r="K135" s="199" t="b">
        <f>FALSE()</f>
        <v>0</v>
      </c>
      <c r="L135" s="3"/>
    </row>
    <row r="136" spans="1:12" s="189" customFormat="1" ht="27" customHeight="1" x14ac:dyDescent="0.15">
      <c r="A136" s="36" t="str">
        <f>Product!$A$28</f>
        <v>AAAI-09</v>
      </c>
      <c r="B136" s="37" t="str">
        <f>VLOOKUP($A136,Product!$A$13:$E$61,2,0)&amp;""</f>
        <v>Are audit logs available that include AT LEAST all of the following: login, logout, actions performed, and source IP address?*</v>
      </c>
      <c r="C136" s="198" t="str">
        <f>VLOOKUP($A136,Product!$A$13:$E$61,3,0)&amp;""</f>
        <v>N/A</v>
      </c>
      <c r="D136" s="70" t="str">
        <f>IF(LEFT(VLOOKUP($A136,Product!$A$13:$E$61,5,0),21)='Auto Responses'!$A$32,'Auto Responses'!$A$33,VLOOKUP($A136,Product!$A$13:$E$61,4,0))&amp;""</f>
        <v>This question does not apply.</v>
      </c>
      <c r="E136" s="204" t="str">
        <f>VLOOKUP($A136,Product!$A$13:$E$61,5,0)&amp;""</f>
        <v xml:space="preserve">Based on the response to REQU-01 on the "START HERE" tab, this question does not apply to this product or service. </v>
      </c>
      <c r="F136" s="210"/>
      <c r="G136" s="196" t="str">
        <f>VLOOKUP($A136,Questions!$A$2:$X$333,21,0)&amp;""</f>
        <v>Yes</v>
      </c>
      <c r="H136" s="197"/>
      <c r="I136" s="198" t="str">
        <f>VLOOKUP($A136,Questions!$A$2:$X$333,23,0)&amp;""</f>
        <v>Critical Importance</v>
      </c>
      <c r="J136" s="197"/>
      <c r="K136" s="199" t="b">
        <f>FALSE()</f>
        <v>0</v>
      </c>
      <c r="L136" s="3"/>
    </row>
    <row r="137" spans="1:12" s="189" customFormat="1" ht="81" customHeight="1" x14ac:dyDescent="0.15">
      <c r="A137" s="36" t="str">
        <f>Product!$A$29</f>
        <v>AAAI-10</v>
      </c>
      <c r="B137" s="37"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202" t="str">
        <f>VLOOKUP($A137,Product!$A$13:$E$61,3,0)&amp;""</f>
        <v>N/A</v>
      </c>
      <c r="D137" s="193" t="str">
        <f>IF(LEFT(VLOOKUP($A137,Product!$A$13:$E$61,5,0),21)='Auto Responses'!$A$32,'Auto Responses'!$A$33,VLOOKUP($A137,Product!$A$13:$E$61,4,0))&amp;""</f>
        <v>This question does not apply.</v>
      </c>
      <c r="E137" s="201" t="str">
        <f>VLOOKUP($A137,Product!$A$13:$E$61,5,0)&amp;""</f>
        <v xml:space="preserve">Based on the response to REQU-01 on the "START HERE" tab, this question does not apply to this product or service. </v>
      </c>
      <c r="F137" s="210"/>
      <c r="G137" s="196" t="str">
        <f>VLOOKUP($A137,Questions!$A$2:$X$333,21,0)&amp;""</f>
        <v>Not scored</v>
      </c>
      <c r="H137" s="197"/>
      <c r="I137" s="198" t="str">
        <f>VLOOKUP($A137,Questions!$A$2:$X$333,23,0)&amp;""</f>
        <v/>
      </c>
      <c r="J137" s="197"/>
      <c r="K137" s="199" t="b">
        <f>FALSE()</f>
        <v>0</v>
      </c>
      <c r="L137" s="3"/>
    </row>
    <row r="138" spans="1:12" s="189" customFormat="1" ht="60" customHeight="1" x14ac:dyDescent="0.15">
      <c r="A138" s="36" t="str">
        <f>Product!$A$30</f>
        <v>AAAI-11</v>
      </c>
      <c r="B138" s="37" t="str">
        <f>VLOOKUP($A138,Product!$A$13:$E$61,2,0)&amp;""</f>
        <v>Can you provide the institution documentation regarding the retention period for those logs, how logs are protected, and whether they are accessible to the customer (and if so, how)?*</v>
      </c>
      <c r="C138" s="198" t="str">
        <f>VLOOKUP($A138,Product!$A$13:$E$61,3,0)&amp;""</f>
        <v>N/A</v>
      </c>
      <c r="D138" s="70" t="str">
        <f>IF(LEFT(VLOOKUP($A138,Product!$A$13:$E$61,5,0),21)='Auto Responses'!$A$32,'Auto Responses'!$A$33,VLOOKUP($A138,Product!$A$13:$E$61,4,0))&amp;""</f>
        <v>This question does not apply.</v>
      </c>
      <c r="E138" s="204" t="str">
        <f>VLOOKUP($A138,Product!$A$13:$E$61,5,0)&amp;""</f>
        <v xml:space="preserve">Based on the response to REQU-01 on the "START HERE" tab, this question does not apply to this product or service. </v>
      </c>
      <c r="F138" s="210"/>
      <c r="G138" s="196" t="str">
        <f>VLOOKUP($A138,Questions!$A$2:$X$333,21,0)&amp;""</f>
        <v>Yes</v>
      </c>
      <c r="H138" s="197"/>
      <c r="I138" s="198" t="str">
        <f>VLOOKUP($A138,Questions!$A$2:$X$333,23,0)&amp;""</f>
        <v>Critical Importance</v>
      </c>
      <c r="J138" s="197"/>
      <c r="K138" s="199" t="b">
        <f>FALSE()</f>
        <v>0</v>
      </c>
      <c r="L138" s="3"/>
    </row>
    <row r="139" spans="1:12" s="189" customFormat="1" ht="27" customHeight="1" x14ac:dyDescent="0.15">
      <c r="A139" s="36" t="str">
        <f>Product!$A$31</f>
        <v>AAAI-12</v>
      </c>
      <c r="B139" s="37" t="str">
        <f>VLOOKUP($A139,Product!$A$13:$E$61,2,0)&amp;""</f>
        <v>For customers not using SSO, does your application support integration with other authentication and authorization systems?</v>
      </c>
      <c r="C139" s="198" t="str">
        <f>VLOOKUP($A139,Product!$A$13:$E$61,3,0)&amp;""</f>
        <v>N/A</v>
      </c>
      <c r="D139" s="70" t="str">
        <f>IF(LEFT(VLOOKUP($A139,Product!$A$13:$E$61,5,0),21)='Auto Responses'!$A$32,'Auto Responses'!$A$33,VLOOKUP($A139,Product!$A$13:$E$61,4,0))&amp;""</f>
        <v>This question does not apply.</v>
      </c>
      <c r="E139" s="204" t="str">
        <f>VLOOKUP($A139,Product!$A$13:$E$61,5,0)&amp;""</f>
        <v xml:space="preserve">Based on the response to REQU-01 on the "START HERE" tab, this question does not apply to this product or service. </v>
      </c>
      <c r="F139" s="210"/>
      <c r="G139" s="196" t="str">
        <f>VLOOKUP($A139,Questions!$A$2:$X$333,21,0)&amp;""</f>
        <v>Yes</v>
      </c>
      <c r="H139" s="197"/>
      <c r="I139" s="198" t="str">
        <f>VLOOKUP($A139,Questions!$A$2:$X$333,23,0)&amp;""</f>
        <v>Standard Importance</v>
      </c>
      <c r="J139" s="197"/>
      <c r="K139" s="199" t="b">
        <f>FALSE()</f>
        <v>0</v>
      </c>
      <c r="L139" s="3"/>
    </row>
    <row r="140" spans="1:12" s="189" customFormat="1" ht="40.5" customHeight="1" x14ac:dyDescent="0.15">
      <c r="A140" s="36" t="str">
        <f>Product!$A$32</f>
        <v>AAAI-13</v>
      </c>
      <c r="B140" s="37" t="str">
        <f>VLOOKUP($A140,Product!$A$13:$E$61,2,0)&amp;""</f>
        <v>Do you allow the customer to specify attribute mappings for any needed information beyond a user identifier? (e.g., Reference eduPerson, ePPA/ePPN/ePE)</v>
      </c>
      <c r="C140" s="198" t="str">
        <f>VLOOKUP($A140,Product!$A$13:$E$61,3,0)&amp;""</f>
        <v>N/A</v>
      </c>
      <c r="D140" s="70" t="str">
        <f>IF(LEFT(VLOOKUP($A140,Product!$A$13:$E$61,5,0),21)='Auto Responses'!$A$32,'Auto Responses'!$A$33,VLOOKUP($A140,Product!$A$13:$E$61,4,0))&amp;""</f>
        <v>This question does not apply.</v>
      </c>
      <c r="E140" s="204" t="str">
        <f>VLOOKUP($A140,Product!$A$13:$E$61,5,0)&amp;""</f>
        <v xml:space="preserve">Based on the response to REQU-01 on the "START HERE" tab, this question does not apply to this product or service. </v>
      </c>
      <c r="F140" s="210"/>
      <c r="G140" s="196" t="str">
        <f>VLOOKUP($A140,Questions!$A$2:$X$333,21,0)&amp;""</f>
        <v>Yes</v>
      </c>
      <c r="H140" s="197"/>
      <c r="I140" s="198" t="str">
        <f>VLOOKUP($A140,Questions!$A$2:$X$333,23,0)&amp;""</f>
        <v>Standard Importance</v>
      </c>
      <c r="J140" s="197"/>
      <c r="K140" s="199" t="b">
        <f>FALSE()</f>
        <v>0</v>
      </c>
      <c r="L140" s="3"/>
    </row>
    <row r="141" spans="1:12" s="189" customFormat="1" ht="27" customHeight="1" x14ac:dyDescent="0.15">
      <c r="A141" s="36" t="str">
        <f>Product!$A$33</f>
        <v>AAAI-14</v>
      </c>
      <c r="B141" s="37" t="str">
        <f>VLOOKUP($A141,Product!$A$13:$E$61,2,0)&amp;""</f>
        <v>For customers not using SSO, does your application support directory integration for user accounts?</v>
      </c>
      <c r="C141" s="198" t="str">
        <f>VLOOKUP($A141,Product!$A$13:$E$61,3,0)&amp;""</f>
        <v>N/A</v>
      </c>
      <c r="D141" s="70" t="str">
        <f>IF(LEFT(VLOOKUP($A141,Product!$A$13:$E$61,5,0),21)='Auto Responses'!$A$32,'Auto Responses'!$A$33,VLOOKUP($A141,Product!$A$13:$E$61,4,0))&amp;""</f>
        <v/>
      </c>
      <c r="E141" s="204" t="str">
        <f>VLOOKUP($A141,Product!$A$13:$E$61,5,0)&amp;""</f>
        <v xml:space="preserve">N/A is only an acceptable answer if SSO is the only way users are able to log into your product. </v>
      </c>
      <c r="F141" s="210"/>
      <c r="G141" s="196" t="str">
        <f>VLOOKUP($A141,Questions!$A$2:$X$333,21,0)&amp;""</f>
        <v>Yes</v>
      </c>
      <c r="H141" s="197"/>
      <c r="I141" s="198" t="str">
        <f>VLOOKUP($A141,Questions!$A$2:$X$333,23,0)&amp;""</f>
        <v>Standard Importance</v>
      </c>
      <c r="J141" s="197"/>
      <c r="K141" s="199" t="b">
        <f>FALSE()</f>
        <v>0</v>
      </c>
      <c r="L141" s="3"/>
    </row>
    <row r="142" spans="1:12" s="189" customFormat="1" ht="120" customHeight="1" x14ac:dyDescent="0.15">
      <c r="A142" s="36" t="str">
        <f>Product!$A$34</f>
        <v>AAAI-15</v>
      </c>
      <c r="B142" s="37" t="str">
        <f>VLOOKUP($A142,Product!$A$13:$E$61,2,0)&amp;""</f>
        <v>Does your solution support any of the following web SSO standards: SAML2 (with redirect flow), OIDC, CAS, or other?</v>
      </c>
      <c r="C142" s="198" t="str">
        <f>VLOOKUP($A142,Product!$A$13:$E$61,3,0)&amp;""</f>
        <v>N/A</v>
      </c>
      <c r="D142" s="70" t="str">
        <f>IF(LEFT(VLOOKUP($A142,Product!$A$13:$E$61,5,0),21)='Auto Responses'!$A$32,'Auto Responses'!$A$33,VLOOKUP($A142,Product!$A$13:$E$61,4,0))&amp;""</f>
        <v>This question does not apply.</v>
      </c>
      <c r="E142" s="204" t="str">
        <f>VLOOKUP($A142,Product!$A$13:$E$61,5,0)&amp;""</f>
        <v xml:space="preserve">Based on the response to REQU-01 on the "START HERE" tab, this question does not apply to this product or service. </v>
      </c>
      <c r="F142" s="210"/>
      <c r="G142" s="196" t="str">
        <f>VLOOKUP($A142,Questions!$A$2:$X$333,21,0)&amp;""</f>
        <v>Yes</v>
      </c>
      <c r="H142" s="197"/>
      <c r="I142" s="198" t="str">
        <f>VLOOKUP($A142,Questions!$A$2:$X$333,23,0)&amp;""</f>
        <v>Minor Importance</v>
      </c>
      <c r="J142" s="197"/>
      <c r="K142" s="199" t="b">
        <f>FALSE()</f>
        <v>0</v>
      </c>
      <c r="L142" s="3"/>
    </row>
    <row r="143" spans="1:12" s="189" customFormat="1" ht="15" customHeight="1" x14ac:dyDescent="0.15">
      <c r="A143" s="36" t="str">
        <f>Product!$A$35</f>
        <v>AAAI-16</v>
      </c>
      <c r="B143" s="37" t="str">
        <f>VLOOKUP($A143,Product!$A$13:$E$61,2,0)&amp;""</f>
        <v>Do you support differentiation between email address and user identifier?</v>
      </c>
      <c r="C143" s="198" t="str">
        <f>VLOOKUP($A143,Product!$A$13:$E$61,3,0)&amp;""</f>
        <v>N/A</v>
      </c>
      <c r="D143" s="70" t="str">
        <f>IF(LEFT(VLOOKUP($A143,Product!$A$13:$E$61,5,0),21)='Auto Responses'!$A$32,'Auto Responses'!$A$33,VLOOKUP($A143,Product!$A$13:$E$61,4,0))&amp;""</f>
        <v>This question does not apply.</v>
      </c>
      <c r="E143" s="204" t="str">
        <f>VLOOKUP($A143,Product!$A$13:$E$61,5,0)&amp;""</f>
        <v xml:space="preserve">Based on the response to REQU-01 on the "START HERE" tab, this question does not apply to this product or service. </v>
      </c>
      <c r="F143" s="210"/>
      <c r="G143" s="196" t="str">
        <f>VLOOKUP($A143,Questions!$A$2:$X$333,21,0)&amp;""</f>
        <v>Yes</v>
      </c>
      <c r="H143" s="197"/>
      <c r="I143" s="198" t="str">
        <f>VLOOKUP($A143,Questions!$A$2:$X$333,23,0)&amp;""</f>
        <v>Minor Importance</v>
      </c>
      <c r="J143" s="197"/>
      <c r="K143" s="199" t="b">
        <f>FALSE()</f>
        <v>0</v>
      </c>
      <c r="L143" s="3"/>
    </row>
    <row r="144" spans="1:12" s="189" customFormat="1" ht="40.5" customHeight="1" x14ac:dyDescent="0.15">
      <c r="A144" s="36" t="str">
        <f>Product!$A$36</f>
        <v>AAAI-17</v>
      </c>
      <c r="B144" s="37" t="str">
        <f>VLOOKUP($A144,Product!$A$13:$E$61,2,0)&amp;""</f>
        <v>For customers not using SSO, does your application and/or user frontend/portal support multifactor authentication (e.g., Duo, Google Authenticator, OTP, etc.)?</v>
      </c>
      <c r="C144" s="198" t="str">
        <f>VLOOKUP($A144,Product!$A$13:$E$61,3,0)&amp;""</f>
        <v>N/A</v>
      </c>
      <c r="D144" s="70" t="str">
        <f>IF(LEFT(VLOOKUP($A144,Product!$A$13:$E$61,5,0),21)='Auto Responses'!$A$32,'Auto Responses'!$A$33,VLOOKUP($A144,Product!$A$13:$E$61,4,0))&amp;""</f>
        <v/>
      </c>
      <c r="E144" s="204" t="str">
        <f>VLOOKUP($A144,Product!$A$13:$E$61,5,0)&amp;""</f>
        <v xml:space="preserve">N/A is only an acceptable answer if SSO is the only way users are able to log into your product. </v>
      </c>
      <c r="F144" s="210"/>
      <c r="G144" s="196" t="str">
        <f>VLOOKUP($A144,Questions!$A$2:$X$333,21,0)&amp;""</f>
        <v>Yes</v>
      </c>
      <c r="H144" s="197"/>
      <c r="I144" s="198" t="str">
        <f>VLOOKUP($A144,Questions!$A$2:$X$333,23,0)&amp;""</f>
        <v>Minor Importance</v>
      </c>
      <c r="J144" s="197"/>
      <c r="K144" s="199" t="b">
        <f>FALSE()</f>
        <v>0</v>
      </c>
      <c r="L144" s="3"/>
    </row>
    <row r="145" spans="1:12" s="189" customFormat="1" ht="27" customHeight="1" x14ac:dyDescent="0.15">
      <c r="A145" s="36" t="str">
        <f>Product!$A$37</f>
        <v>AAAI-18</v>
      </c>
      <c r="B145" s="37" t="str">
        <f>VLOOKUP($A145,Product!$A$13:$E$61,2,0)&amp;""</f>
        <v>Does your application automatically lock the session or log out an account after a period of inactivity?</v>
      </c>
      <c r="C145" s="198" t="str">
        <f>VLOOKUP($A145,Product!$A$13:$E$61,3,0)&amp;""</f>
        <v>N/A</v>
      </c>
      <c r="D145" s="70" t="str">
        <f>IF(LEFT(VLOOKUP($A145,Product!$A$13:$E$61,5,0),21)='Auto Responses'!$A$32,'Auto Responses'!$A$33,VLOOKUP($A145,Product!$A$13:$E$61,4,0))&amp;""</f>
        <v>This question does not apply.</v>
      </c>
      <c r="E145" s="204" t="str">
        <f>VLOOKUP($A145,Product!$A$13:$E$61,5,0)&amp;""</f>
        <v xml:space="preserve">Based on the response to REQU-01 on the "START HERE" tab, this question does not apply to this product or service. </v>
      </c>
      <c r="F145" s="210"/>
      <c r="G145" s="196" t="str">
        <f>VLOOKUP($A145,Questions!$A$2:$X$333,21,0)&amp;""</f>
        <v>Yes</v>
      </c>
      <c r="H145" s="197"/>
      <c r="I145" s="198" t="str">
        <f>VLOOKUP($A145,Questions!$A$2:$X$333,23,0)&amp;""</f>
        <v>Minor Importance</v>
      </c>
      <c r="J145" s="197"/>
      <c r="K145" s="199" t="b">
        <f>FALSE()</f>
        <v>0</v>
      </c>
      <c r="L145" s="3"/>
    </row>
    <row r="146" spans="1:12" s="3" customFormat="1" ht="17.25" customHeight="1" x14ac:dyDescent="0.15">
      <c r="A146" s="32" t="str">
        <f>VLOOKUP(LEFT($A147,4),'Auto Responses'!$N$4:$O$38,2,0)&amp;""</f>
        <v xml:space="preserve"> Data</v>
      </c>
      <c r="B146" s="41"/>
      <c r="C146" s="42"/>
      <c r="D146" s="42"/>
      <c r="E146" s="203"/>
      <c r="F146" s="191" t="s">
        <v>468</v>
      </c>
      <c r="G146" s="200" t="s">
        <v>463</v>
      </c>
      <c r="H146" s="200" t="s">
        <v>464</v>
      </c>
      <c r="I146" s="200" t="s">
        <v>465</v>
      </c>
      <c r="J146" s="200" t="s">
        <v>466</v>
      </c>
      <c r="K146" s="200" t="s">
        <v>467</v>
      </c>
    </row>
    <row r="147" spans="1:12" s="189" customFormat="1" ht="40.5" customHeight="1" x14ac:dyDescent="0.15">
      <c r="A147" s="36" t="str">
        <f>Product!$A$39</f>
        <v>DATA-01</v>
      </c>
      <c r="B147" s="37" t="str">
        <f>VLOOKUP($A147,Product!$A$13:$E$61,2,0)&amp;""</f>
        <v>Will the institution's data be stored on any devices (database servers, file servers, SAN, NAS, etc.) configured with non-RFC 1918/4193 (i.e., publicly routable) IP addresses?*</v>
      </c>
      <c r="C147" s="198" t="str">
        <f>VLOOKUP($A147,Product!$A$13:$E$61,3,0)&amp;""</f>
        <v>N/A</v>
      </c>
      <c r="D147" s="70" t="str">
        <f>IF(LEFT(VLOOKUP($A147,Product!$A$13:$E$61,5,0),21)='Auto Responses'!$A$32,'Auto Responses'!$A$33,VLOOKUP($A147,Product!$A$13:$E$61,4,0))&amp;""</f>
        <v>This question does not apply.</v>
      </c>
      <c r="E147" s="204" t="str">
        <f>VLOOKUP($A147,Product!$A$13:$E$61,5,0)&amp;""</f>
        <v xml:space="preserve">Based on the response to REQU-01 on the "START HERE" tab, this question does not apply to this product or service. </v>
      </c>
      <c r="F147" s="210"/>
      <c r="G147" s="196" t="str">
        <f>VLOOKUP($A147,Questions!$A$2:$X$333,21,0)&amp;""</f>
        <v>No</v>
      </c>
      <c r="H147" s="197"/>
      <c r="I147" s="198" t="str">
        <f>VLOOKUP($A147,Questions!$A$2:$X$333,23,0)&amp;""</f>
        <v>Critical Importance</v>
      </c>
      <c r="J147" s="197"/>
      <c r="K147" s="199" t="b">
        <f>FALSE()</f>
        <v>0</v>
      </c>
      <c r="L147" s="3"/>
    </row>
    <row r="148" spans="1:12" s="189" customFormat="1" ht="27" customHeight="1" x14ac:dyDescent="0.15">
      <c r="A148" s="36" t="str">
        <f>Product!$A$40</f>
        <v>DATA-02</v>
      </c>
      <c r="B148" s="37" t="str">
        <f>VLOOKUP($A148,Product!$A$13:$E$61,2,0)&amp;""</f>
        <v>Is the transport of sensitive data encrypted using security protocols/algorithms (e.g., system-to-client)?*</v>
      </c>
      <c r="C148" s="198" t="str">
        <f>VLOOKUP($A148,Product!$A$13:$E$61,3,0)&amp;""</f>
        <v>N/A</v>
      </c>
      <c r="D148" s="70" t="str">
        <f>IF(LEFT(VLOOKUP($A148,Product!$A$13:$E$61,5,0),21)='Auto Responses'!$A$32,'Auto Responses'!$A$33,VLOOKUP($A148,Product!$A$13:$E$61,4,0))&amp;""</f>
        <v>This question does not apply.</v>
      </c>
      <c r="E148" s="204" t="str">
        <f>VLOOKUP($A148,Product!$A$13:$E$61,5,0)&amp;""</f>
        <v xml:space="preserve">Based on the response to REQU-01 on the "START HERE" tab, this question does not apply to this product or service. </v>
      </c>
      <c r="F148" s="210"/>
      <c r="G148" s="196" t="str">
        <f>VLOOKUP($A148,Questions!$A$2:$X$333,21,0)&amp;""</f>
        <v>Yes</v>
      </c>
      <c r="H148" s="197"/>
      <c r="I148" s="198" t="str">
        <f>VLOOKUP($A148,Questions!$A$2:$X$333,23,0)&amp;""</f>
        <v>Critical Importance</v>
      </c>
      <c r="J148" s="197"/>
      <c r="K148" s="199" t="b">
        <f>FALSE()</f>
        <v>0</v>
      </c>
      <c r="L148" s="3"/>
    </row>
    <row r="149" spans="1:12" s="189" customFormat="1" ht="40.5" customHeight="1" x14ac:dyDescent="0.15">
      <c r="A149" s="36" t="str">
        <f>Product!$A$41</f>
        <v>DATA-03</v>
      </c>
      <c r="B149" s="37" t="str">
        <f>VLOOKUP($A149,Product!$A$13:$E$61,2,0)&amp;""</f>
        <v>Is the storage of sensitive data encrypted using security protocols/algorithms (e.g., disk encryption, at-rest, files, and within a running database)?*</v>
      </c>
      <c r="C149" s="198" t="str">
        <f>VLOOKUP($A149,Product!$A$13:$E$61,3,0)&amp;""</f>
        <v>N/A</v>
      </c>
      <c r="D149" s="70" t="str">
        <f>IF(LEFT(VLOOKUP($A149,Product!$A$13:$E$61,5,0),21)='Auto Responses'!$A$32,'Auto Responses'!$A$33,VLOOKUP($A149,Product!$A$13:$E$61,4,0))&amp;""</f>
        <v>This question does not apply.</v>
      </c>
      <c r="E149" s="204" t="str">
        <f>VLOOKUP($A149,Product!$A$13:$E$61,5,0)&amp;""</f>
        <v xml:space="preserve">Based on the response to REQU-01 on the "START HERE" tab, this question does not apply to this product or service. </v>
      </c>
      <c r="F149" s="210"/>
      <c r="G149" s="196" t="str">
        <f>VLOOKUP($A149,Questions!$A$2:$X$333,21,0)&amp;""</f>
        <v>Yes</v>
      </c>
      <c r="H149" s="197"/>
      <c r="I149" s="198" t="str">
        <f>VLOOKUP($A149,Questions!$A$2:$X$333,23,0)&amp;""</f>
        <v>Critical Importance</v>
      </c>
      <c r="J149" s="197"/>
      <c r="K149" s="199" t="b">
        <f>FALSE()</f>
        <v>0</v>
      </c>
      <c r="L149" s="3"/>
    </row>
    <row r="150" spans="1:12" s="189" customFormat="1" ht="27" customHeight="1" x14ac:dyDescent="0.15">
      <c r="A150" s="36" t="str">
        <f>Product!$A$42</f>
        <v>DATA-04</v>
      </c>
      <c r="B150" s="37" t="str">
        <f>VLOOKUP($A150,Product!$A$13:$E$61,2,0)&amp;""</f>
        <v>Do all cryptographic modules in use in your solution conform to the Federal Information Processing Standards (FIPS PUB 140-2 or 140-3)?*</v>
      </c>
      <c r="C150" s="198" t="str">
        <f>VLOOKUP($A150,Product!$A$13:$E$61,3,0)&amp;""</f>
        <v>N/A</v>
      </c>
      <c r="D150" s="70" t="str">
        <f>IF(LEFT(VLOOKUP($A150,Product!$A$13:$E$61,5,0),21)='Auto Responses'!$A$32,'Auto Responses'!$A$33,VLOOKUP($A150,Product!$A$13:$E$61,4,0))&amp;""</f>
        <v>This question does not apply.</v>
      </c>
      <c r="E150" s="204" t="str">
        <f>VLOOKUP($A150,Product!$A$13:$E$61,5,0)&amp;""</f>
        <v xml:space="preserve">Based on the response to REQU-01 on the "START HERE" tab, this question does not apply to this product or service. </v>
      </c>
      <c r="F150" s="210"/>
      <c r="G150" s="196" t="str">
        <f>VLOOKUP($A150,Questions!$A$2:$X$333,21,0)&amp;""</f>
        <v>Yes</v>
      </c>
      <c r="H150" s="197"/>
      <c r="I150" s="198" t="str">
        <f>VLOOKUP($A150,Questions!$A$2:$X$333,23,0)&amp;""</f>
        <v>Critical Importance</v>
      </c>
      <c r="J150" s="197"/>
      <c r="K150" s="199" t="b">
        <f>FALSE()</f>
        <v>0</v>
      </c>
      <c r="L150" s="3"/>
    </row>
    <row r="151" spans="1:12" s="189" customFormat="1" ht="27" customHeight="1" x14ac:dyDescent="0.15">
      <c r="A151" s="36" t="str">
        <f>Product!$A$43</f>
        <v>DATA-05</v>
      </c>
      <c r="B151" s="37" t="str">
        <f>VLOOKUP($A151,Product!$A$13:$E$61,2,0)&amp;""</f>
        <v>Will the institution's data be available within the system for a period of time at the completion of this contract?*</v>
      </c>
      <c r="C151" s="198" t="str">
        <f>VLOOKUP($A151,Product!$A$13:$E$61,3,0)&amp;""</f>
        <v>N/A</v>
      </c>
      <c r="D151" s="70" t="str">
        <f>IF(LEFT(VLOOKUP($A151,Product!$A$13:$E$61,5,0),21)='Auto Responses'!$A$32,'Auto Responses'!$A$33,VLOOKUP($A151,Product!$A$13:$E$61,4,0))&amp;""</f>
        <v>This question does not apply.</v>
      </c>
      <c r="E151" s="204" t="str">
        <f>VLOOKUP($A151,Product!$A$13:$E$61,5,0)&amp;""</f>
        <v xml:space="preserve">Based on the response to REQU-01 on the "START HERE" tab, this question does not apply to this product or service. </v>
      </c>
      <c r="F151" s="210"/>
      <c r="G151" s="196" t="str">
        <f>VLOOKUP($A151,Questions!$A$2:$X$333,21,0)&amp;""</f>
        <v>Yes</v>
      </c>
      <c r="H151" s="197"/>
      <c r="I151" s="198" t="str">
        <f>VLOOKUP($A151,Questions!$A$2:$X$333,23,0)&amp;""</f>
        <v>Critical Importance</v>
      </c>
      <c r="J151" s="197"/>
      <c r="K151" s="199" t="b">
        <f>FALSE()</f>
        <v>0</v>
      </c>
      <c r="L151" s="3"/>
    </row>
    <row r="152" spans="1:12" s="189" customFormat="1" ht="27" customHeight="1" x14ac:dyDescent="0.15">
      <c r="A152" s="36" t="str">
        <f>Product!$A$44</f>
        <v>DATA-06</v>
      </c>
      <c r="B152" s="37" t="str">
        <f>VLOOKUP($A152,Product!$A$13:$E$61,2,0)&amp;""</f>
        <v>Are ownership rights to all data, inputs, outputs, and metadata retained even through a provider acquisition or bankruptcy event?*</v>
      </c>
      <c r="C152" s="198" t="str">
        <f>VLOOKUP($A152,Product!$A$13:$E$61,3,0)&amp;""</f>
        <v>N/A</v>
      </c>
      <c r="D152" s="70" t="str">
        <f>IF(LEFT(VLOOKUP($A152,Product!$A$13:$E$61,5,0),21)='Auto Responses'!$A$32,'Auto Responses'!$A$33,VLOOKUP($A152,Product!$A$13:$E$61,4,0))&amp;""</f>
        <v>This question does not apply.</v>
      </c>
      <c r="E152" s="204" t="str">
        <f>VLOOKUP($A152,Product!$A$13:$E$61,5,0)&amp;""</f>
        <v xml:space="preserve">Based on the response to REQU-01 on the "START HERE" tab, this question does not apply to this product or service. </v>
      </c>
      <c r="F152" s="210"/>
      <c r="G152" s="196" t="str">
        <f>VLOOKUP($A152,Questions!$A$2:$X$333,21,0)&amp;""</f>
        <v>Yes</v>
      </c>
      <c r="H152" s="197"/>
      <c r="I152" s="198" t="str">
        <f>VLOOKUP($A152,Questions!$A$2:$X$333,23,0)&amp;""</f>
        <v>Critical Importance</v>
      </c>
      <c r="J152" s="197"/>
      <c r="K152" s="199" t="b">
        <f>FALSE()</f>
        <v>0</v>
      </c>
      <c r="L152" s="3"/>
    </row>
    <row r="153" spans="1:12" s="189" customFormat="1" ht="27" customHeight="1" x14ac:dyDescent="0.15">
      <c r="A153" s="36" t="str">
        <f>Product!$A$45</f>
        <v>DATA-07</v>
      </c>
      <c r="B153" s="37" t="str">
        <f>VLOOKUP($A153,Product!$A$13:$E$61,2,0)&amp;""</f>
        <v>Do backups containing the institution's data ever leave the institution's data zone either physically or via network routing?*</v>
      </c>
      <c r="C153" s="198" t="str">
        <f>VLOOKUP($A153,Product!$A$13:$E$61,3,0)&amp;""</f>
        <v>N/A</v>
      </c>
      <c r="D153" s="70" t="str">
        <f>IF(LEFT(VLOOKUP($A153,Product!$A$13:$E$61,5,0),21)='Auto Responses'!$A$32,'Auto Responses'!$A$33,VLOOKUP($A153,Product!$A$13:$E$61,4,0))&amp;""</f>
        <v>This question does not apply.</v>
      </c>
      <c r="E153" s="204" t="str">
        <f>VLOOKUP($A153,Product!$A$13:$E$61,5,0)&amp;""</f>
        <v xml:space="preserve">Based on the response to REQU-01 on the "START HERE" tab, this question does not apply to this product or service. </v>
      </c>
      <c r="F153" s="210"/>
      <c r="G153" s="196" t="str">
        <f>VLOOKUP($A153,Questions!$A$2:$X$333,21,0)&amp;""</f>
        <v>No</v>
      </c>
      <c r="H153" s="197"/>
      <c r="I153" s="198" t="str">
        <f>VLOOKUP($A153,Questions!$A$2:$X$333,23,0)&amp;""</f>
        <v>Critical Importance</v>
      </c>
      <c r="J153" s="197"/>
      <c r="K153" s="199" t="b">
        <f>FALSE()</f>
        <v>0</v>
      </c>
      <c r="L153" s="3"/>
    </row>
    <row r="154" spans="1:12" s="189" customFormat="1" ht="27" customHeight="1" x14ac:dyDescent="0.15">
      <c r="A154" s="36" t="str">
        <f>Product!$A$46</f>
        <v>DATA-08</v>
      </c>
      <c r="B154" s="37" t="str">
        <f>VLOOKUP($A154,Product!$A$13:$E$61,2,0)&amp;""</f>
        <v>Is media used for long-term retention of business data and archival purposes stored in a secure, environmentally protected area?*</v>
      </c>
      <c r="C154" s="198" t="str">
        <f>VLOOKUP($A154,Product!$A$13:$E$61,3,0)&amp;""</f>
        <v>N/A</v>
      </c>
      <c r="D154" s="70" t="str">
        <f>IF(LEFT(VLOOKUP($A154,Product!$A$13:$E$61,5,0),21)='Auto Responses'!$A$32,'Auto Responses'!$A$33,VLOOKUP($A154,Product!$A$13:$E$61,4,0))&amp;""</f>
        <v>This question does not apply.</v>
      </c>
      <c r="E154" s="204" t="str">
        <f>VLOOKUP($A154,Product!$A$13:$E$61,5,0)&amp;""</f>
        <v xml:space="preserve">Based on the response to REQU-01 on the "START HERE" tab, this question does not apply to this product or service. </v>
      </c>
      <c r="F154" s="210"/>
      <c r="G154" s="196" t="str">
        <f>VLOOKUP($A154,Questions!$A$2:$X$333,21,0)&amp;""</f>
        <v>Yes</v>
      </c>
      <c r="H154" s="197"/>
      <c r="I154" s="198" t="str">
        <f>VLOOKUP($A154,Questions!$A$2:$X$333,23,0)&amp;""</f>
        <v>Critical Importance</v>
      </c>
      <c r="J154" s="197"/>
      <c r="K154" s="199" t="b">
        <f>FALSE()</f>
        <v>0</v>
      </c>
      <c r="L154" s="3"/>
    </row>
    <row r="155" spans="1:12" s="189" customFormat="1" ht="45" customHeight="1" x14ac:dyDescent="0.15">
      <c r="A155" s="36" t="str">
        <f>Product!$A$47</f>
        <v>DATA-09</v>
      </c>
      <c r="B155" s="37" t="str">
        <f>VLOOKUP($A155,Product!$A$13:$E$61,2,0)&amp;""</f>
        <v>At the completion of this contract, will data be returned to the institution and/or deleted from all your systems and archives?</v>
      </c>
      <c r="C155" s="198" t="str">
        <f>VLOOKUP($A155,Product!$A$13:$E$61,3,0)&amp;""</f>
        <v>N/A</v>
      </c>
      <c r="D155" s="70" t="str">
        <f>IF(LEFT(VLOOKUP($A155,Product!$A$13:$E$61,5,0),21)='Auto Responses'!$A$32,'Auto Responses'!$A$33,VLOOKUP($A155,Product!$A$13:$E$61,4,0))&amp;""</f>
        <v>This question does not apply.</v>
      </c>
      <c r="E155" s="204" t="str">
        <f>VLOOKUP($A155,Product!$A$13:$E$61,5,0)&amp;""</f>
        <v xml:space="preserve">Based on the response to REQU-01 on the "START HERE" tab, this question does not apply to this product or service. </v>
      </c>
      <c r="F155" s="210"/>
      <c r="G155" s="196" t="str">
        <f>VLOOKUP($A155,Questions!$A$2:$X$333,21,0)&amp;""</f>
        <v>Yes</v>
      </c>
      <c r="H155" s="197"/>
      <c r="I155" s="198" t="str">
        <f>VLOOKUP($A155,Questions!$A$2:$X$333,23,0)&amp;""</f>
        <v>Standard Importance</v>
      </c>
      <c r="J155" s="197"/>
      <c r="K155" s="199" t="b">
        <f>FALSE()</f>
        <v>0</v>
      </c>
      <c r="L155" s="3"/>
    </row>
    <row r="156" spans="1:12" s="189" customFormat="1" ht="15" customHeight="1" x14ac:dyDescent="0.15">
      <c r="A156" s="36" t="str">
        <f>Product!$A$48</f>
        <v>DATA-10</v>
      </c>
      <c r="B156" s="37" t="str">
        <f>VLOOKUP($A156,Product!$A$13:$E$61,2,0)&amp;""</f>
        <v>Can the institution extract a full or partial backup of data?</v>
      </c>
      <c r="C156" s="198" t="str">
        <f>VLOOKUP($A156,Product!$A$13:$E$61,3,0)&amp;""</f>
        <v>N/A</v>
      </c>
      <c r="D156" s="70" t="str">
        <f>IF(LEFT(VLOOKUP($A156,Product!$A$13:$E$61,5,0),21)='Auto Responses'!$A$32,'Auto Responses'!$A$33,VLOOKUP($A156,Product!$A$13:$E$61,4,0))&amp;""</f>
        <v>This question does not apply.</v>
      </c>
      <c r="E156" s="204" t="str">
        <f>VLOOKUP($A156,Product!$A$13:$E$61,5,0)&amp;""</f>
        <v xml:space="preserve">Based on the response to REQU-01 on the "START HERE" tab, this question does not apply to this product or service. </v>
      </c>
      <c r="F156" s="210"/>
      <c r="G156" s="196" t="str">
        <f>VLOOKUP($A156,Questions!$A$2:$X$333,21,0)&amp;""</f>
        <v>Yes</v>
      </c>
      <c r="H156" s="197"/>
      <c r="I156" s="198" t="str">
        <f>VLOOKUP($A156,Questions!$A$2:$X$333,23,0)&amp;""</f>
        <v>Standard Importance</v>
      </c>
      <c r="J156" s="197"/>
      <c r="K156" s="199" t="b">
        <f>FALSE()</f>
        <v>0</v>
      </c>
      <c r="L156" s="3"/>
    </row>
    <row r="157" spans="1:12" s="189" customFormat="1" ht="40.5" customHeight="1" x14ac:dyDescent="0.15">
      <c r="A157" s="36" t="str">
        <f>Product!$A$49</f>
        <v>DATA-11</v>
      </c>
      <c r="B157" s="37" t="str">
        <f>VLOOKUP($A157,Product!$A$13:$E$61,2,0)&amp;""</f>
        <v>Do current backups include all operating system software, utilities, security software, application software, and data files necessary for recovery?</v>
      </c>
      <c r="C157" s="198" t="str">
        <f>VLOOKUP($A157,Product!$A$13:$E$61,3,0)&amp;""</f>
        <v>N/A</v>
      </c>
      <c r="D157" s="70" t="str">
        <f>IF(LEFT(VLOOKUP($A157,Product!$A$13:$E$61,5,0),21)='Auto Responses'!$A$32,'Auto Responses'!$A$33,VLOOKUP($A157,Product!$A$13:$E$61,4,0))&amp;""</f>
        <v>This question does not apply.</v>
      </c>
      <c r="E157" s="204" t="str">
        <f>VLOOKUP($A157,Product!$A$13:$E$61,5,0)&amp;""</f>
        <v xml:space="preserve">Based on the response to REQU-01 on the "START HERE" tab, this question does not apply to this product or service. </v>
      </c>
      <c r="F157" s="210"/>
      <c r="G157" s="196" t="str">
        <f>VLOOKUP($A157,Questions!$A$2:$X$333,21,0)&amp;""</f>
        <v>Yes</v>
      </c>
      <c r="H157" s="197"/>
      <c r="I157" s="198" t="str">
        <f>VLOOKUP($A157,Questions!$A$2:$X$333,23,0)&amp;""</f>
        <v>Standard Importance</v>
      </c>
      <c r="J157" s="197"/>
      <c r="K157" s="199" t="b">
        <f>FALSE()</f>
        <v>0</v>
      </c>
      <c r="L157" s="3"/>
    </row>
    <row r="158" spans="1:12" s="189" customFormat="1" ht="15" customHeight="1" x14ac:dyDescent="0.15">
      <c r="A158" s="36" t="str">
        <f>Product!$A$50</f>
        <v>DATA-12</v>
      </c>
      <c r="B158" s="37" t="str">
        <f>VLOOKUP($A158,Product!$A$13:$E$61,2,0)&amp;""</f>
        <v>Are you performing off-site backups (i.e., digitally moved off site)?</v>
      </c>
      <c r="C158" s="198" t="str">
        <f>VLOOKUP($A158,Product!$A$13:$E$61,3,0)&amp;""</f>
        <v>N/A</v>
      </c>
      <c r="D158" s="70" t="str">
        <f>IF(LEFT(VLOOKUP($A158,Product!$A$13:$E$61,5,0),21)='Auto Responses'!$A$32,'Auto Responses'!$A$33,VLOOKUP($A158,Product!$A$13:$E$61,4,0))&amp;""</f>
        <v>This question does not apply.</v>
      </c>
      <c r="E158" s="204" t="str">
        <f>VLOOKUP($A158,Product!$A$13:$E$61,5,0)&amp;""</f>
        <v xml:space="preserve">Based on the response to REQU-01 on the "START HERE" tab, this question does not apply to this product or service. </v>
      </c>
      <c r="F158" s="210"/>
      <c r="G158" s="196" t="str">
        <f>VLOOKUP($A158,Questions!$A$2:$X$333,21,0)&amp;""</f>
        <v>Yes</v>
      </c>
      <c r="H158" s="197"/>
      <c r="I158" s="198" t="str">
        <f>VLOOKUP($A158,Questions!$A$2:$X$333,23,0)&amp;""</f>
        <v>Standard Importance</v>
      </c>
      <c r="J158" s="197"/>
      <c r="K158" s="199" t="b">
        <f>FALSE()</f>
        <v>0</v>
      </c>
      <c r="L158" s="3"/>
    </row>
    <row r="159" spans="1:12" s="189" customFormat="1" ht="15" customHeight="1" x14ac:dyDescent="0.15">
      <c r="A159" s="36" t="str">
        <f>Product!$A$51</f>
        <v>DATA-13</v>
      </c>
      <c r="B159" s="37" t="str">
        <f>VLOOKUP($A159,Product!$A$13:$E$61,2,0)&amp;""</f>
        <v>Are physical backups taken off-site (i.e., physically moved off site)?</v>
      </c>
      <c r="C159" s="198" t="str">
        <f>VLOOKUP($A159,Product!$A$13:$E$61,3,0)&amp;""</f>
        <v>N/A</v>
      </c>
      <c r="D159" s="70" t="str">
        <f>IF(LEFT(VLOOKUP($A159,Product!$A$13:$E$61,5,0),21)='Auto Responses'!$A$32,'Auto Responses'!$A$33,VLOOKUP($A159,Product!$A$13:$E$61,4,0))&amp;""</f>
        <v/>
      </c>
      <c r="E159" s="204" t="str">
        <f>VLOOKUP($A159,Product!$A$13:$E$61,5,0)&amp;""</f>
        <v>Please explain why this does not apply to your organization, product or service.</v>
      </c>
      <c r="F159" s="210"/>
      <c r="G159" s="196" t="str">
        <f>VLOOKUP($A159,Questions!$A$2:$X$333,21,0)&amp;""</f>
        <v>Yes</v>
      </c>
      <c r="H159" s="197"/>
      <c r="I159" s="198" t="str">
        <f>VLOOKUP($A159,Questions!$A$2:$X$333,23,0)&amp;""</f>
        <v>Standard Importance</v>
      </c>
      <c r="J159" s="197"/>
      <c r="K159" s="199" t="b">
        <f>FALSE()</f>
        <v>0</v>
      </c>
      <c r="L159" s="3"/>
    </row>
    <row r="160" spans="1:12" s="189" customFormat="1" ht="15" customHeight="1" x14ac:dyDescent="0.15">
      <c r="A160" s="36" t="str">
        <f>Product!$A$52</f>
        <v>DATA-14</v>
      </c>
      <c r="B160" s="37" t="str">
        <f>VLOOKUP($A160,Product!$A$13:$E$61,2,0)&amp;""</f>
        <v>Are data backups encrypted?</v>
      </c>
      <c r="C160" s="198" t="str">
        <f>VLOOKUP($A160,Product!$A$13:$E$61,3,0)&amp;""</f>
        <v>N/A</v>
      </c>
      <c r="D160" s="70" t="str">
        <f>IF(LEFT(VLOOKUP($A160,Product!$A$13:$E$61,5,0),21)='Auto Responses'!$A$32,'Auto Responses'!$A$33,VLOOKUP($A160,Product!$A$13:$E$61,4,0))&amp;""</f>
        <v>This question does not apply.</v>
      </c>
      <c r="E160" s="204" t="str">
        <f>VLOOKUP($A160,Product!$A$13:$E$61,5,0)&amp;""</f>
        <v xml:space="preserve">Based on the response to REQU-01 on the "START HERE" tab, this question does not apply to this product or service. </v>
      </c>
      <c r="F160" s="210"/>
      <c r="G160" s="196" t="str">
        <f>VLOOKUP($A160,Questions!$A$2:$X$333,21,0)&amp;""</f>
        <v>Yes</v>
      </c>
      <c r="H160" s="197"/>
      <c r="I160" s="198" t="str">
        <f>VLOOKUP($A160,Questions!$A$2:$X$333,23,0)&amp;""</f>
        <v>Minor Importance</v>
      </c>
      <c r="J160" s="197"/>
      <c r="K160" s="199" t="b">
        <f>FALSE()</f>
        <v>0</v>
      </c>
      <c r="L160" s="3"/>
    </row>
    <row r="161" spans="1:12" s="189" customFormat="1" ht="54" customHeight="1" x14ac:dyDescent="0.15">
      <c r="A161" s="36" t="str">
        <f>Product!$A$53</f>
        <v>DATA-15</v>
      </c>
      <c r="B161" s="37" t="str">
        <f>VLOOKUP($A161,Product!$A$13:$E$61,2,0)&amp;""</f>
        <v>Do you have a media handling process that is documented and currently implemented that meets established business needs and regulatory requirements, including end-of-life, repurposing, and data-sanitization procedures?</v>
      </c>
      <c r="C161" s="198" t="str">
        <f>VLOOKUP($A161,Product!$A$13:$E$61,3,0)&amp;""</f>
        <v>N/A</v>
      </c>
      <c r="D161" s="70" t="str">
        <f>IF(LEFT(VLOOKUP($A161,Product!$A$13:$E$61,5,0),21)='Auto Responses'!$A$32,'Auto Responses'!$A$33,VLOOKUP($A161,Product!$A$13:$E$61,4,0))&amp;""</f>
        <v>This question does not apply.</v>
      </c>
      <c r="E161" s="204" t="str">
        <f>VLOOKUP($A161,Product!$A$13:$E$61,5,0)&amp;""</f>
        <v xml:space="preserve">Based on the response to REQU-01 on the "START HERE" tab, this question does not apply to this product or service. </v>
      </c>
      <c r="F161" s="210"/>
      <c r="G161" s="196" t="str">
        <f>VLOOKUP($A161,Questions!$A$2:$X$333,21,0)&amp;""</f>
        <v>Yes</v>
      </c>
      <c r="H161" s="197"/>
      <c r="I161" s="198" t="str">
        <f>VLOOKUP($A161,Questions!$A$2:$X$333,23,0)&amp;""</f>
        <v>Standard Importance</v>
      </c>
      <c r="J161" s="197"/>
      <c r="K161" s="199" t="b">
        <f>FALSE()</f>
        <v>0</v>
      </c>
      <c r="L161" s="3"/>
    </row>
    <row r="162" spans="1:12" s="189" customFormat="1" ht="27" customHeight="1" x14ac:dyDescent="0.15">
      <c r="A162" s="36" t="str">
        <f>Product!$A$54</f>
        <v>DATA-16</v>
      </c>
      <c r="B162" s="37" t="str">
        <f>VLOOKUP($A162,Product!$A$13:$E$61,2,0)&amp;""</f>
        <v>Does the process described in DATA-15 adhere to DoD 5220.22-M and/or NIST SP 800-88 standards?</v>
      </c>
      <c r="C162" s="198" t="str">
        <f>VLOOKUP($A162,Product!$A$13:$E$61,3,0)&amp;""</f>
        <v>N/A</v>
      </c>
      <c r="D162" s="70" t="str">
        <f>IF(LEFT(VLOOKUP($A162,Product!$A$13:$E$61,5,0),21)='Auto Responses'!$A$32,'Auto Responses'!$A$33,VLOOKUP($A162,Product!$A$13:$E$61,4,0))&amp;""</f>
        <v>This question does not apply.</v>
      </c>
      <c r="E162" s="204" t="str">
        <f>VLOOKUP($A162,Product!$A$13:$E$61,5,0)&amp;""</f>
        <v xml:space="preserve">Based on the response to REQU-01 on the "START HERE" tab, this question does not apply to this product or service. </v>
      </c>
      <c r="F162" s="210"/>
      <c r="G162" s="196" t="str">
        <f>VLOOKUP($A162,Questions!$A$2:$X$333,21,0)&amp;""</f>
        <v>Yes</v>
      </c>
      <c r="H162" s="197"/>
      <c r="I162" s="198" t="str">
        <f>VLOOKUP($A162,Questions!$A$2:$X$333,23,0)&amp;""</f>
        <v>Standard Importance</v>
      </c>
      <c r="J162" s="197"/>
      <c r="K162" s="199" t="b">
        <f>FALSE()</f>
        <v>0</v>
      </c>
      <c r="L162" s="3"/>
    </row>
    <row r="163" spans="1:12" s="189" customFormat="1" ht="27" customHeight="1" x14ac:dyDescent="0.15">
      <c r="A163" s="36" t="str">
        <f>Product!$A$55</f>
        <v>DATA-17</v>
      </c>
      <c r="B163" s="37" t="str">
        <f>VLOOKUP($A163,Product!$A$13:$E$61,2,0)&amp;""</f>
        <v>Does your staff (or third party) have access to institutional data (e.g., financial, PHI, or other sensitive information) through any means?</v>
      </c>
      <c r="C163" s="198" t="str">
        <f>VLOOKUP($A163,Product!$A$13:$E$61,3,0)&amp;""</f>
        <v>N/A</v>
      </c>
      <c r="D163" s="70" t="str">
        <f>IF(LEFT(VLOOKUP($A163,Product!$A$13:$E$61,5,0),21)='Auto Responses'!$A$32,'Auto Responses'!$A$33,VLOOKUP($A163,Product!$A$13:$E$61,4,0))&amp;""</f>
        <v>This question does not apply.</v>
      </c>
      <c r="E163" s="204" t="str">
        <f>VLOOKUP($A163,Product!$A$13:$E$61,5,0)&amp;""</f>
        <v xml:space="preserve">Based on the response to REQU-01 on the "START HERE" tab, this question does not apply to this product or service. </v>
      </c>
      <c r="F163" s="210"/>
      <c r="G163" s="196" t="str">
        <f>VLOOKUP($A163,Questions!$A$2:$X$333,21,0)&amp;""</f>
        <v>No</v>
      </c>
      <c r="H163" s="197"/>
      <c r="I163" s="198" t="str">
        <f>VLOOKUP($A163,Questions!$A$2:$X$333,23,0)&amp;""</f>
        <v>Standard Importance</v>
      </c>
      <c r="J163" s="197"/>
      <c r="K163" s="199" t="b">
        <f>FALSE()</f>
        <v>0</v>
      </c>
      <c r="L163" s="3"/>
    </row>
    <row r="164" spans="1:12" s="189" customFormat="1" ht="40.5" customHeight="1" x14ac:dyDescent="0.15">
      <c r="A164" s="36" t="str">
        <f>Product!$A$56</f>
        <v>DATA-18</v>
      </c>
      <c r="B164" s="37" t="str">
        <f>VLOOKUP($A164,Product!$A$13:$E$61,2,0)&amp;""</f>
        <v>Do you have a documented and currently implemented strategy for securing employee workstations when they work remotely (i.e., not in a trusted computing environment)?</v>
      </c>
      <c r="C164" s="198" t="str">
        <f>VLOOKUP($A164,Product!$A$13:$E$61,3,0)&amp;""</f>
        <v>N/A</v>
      </c>
      <c r="D164" s="70" t="str">
        <f>IF(LEFT(VLOOKUP($A164,Product!$A$13:$E$61,5,0),21)='Auto Responses'!$A$32,'Auto Responses'!$A$33,VLOOKUP($A164,Product!$A$13:$E$61,4,0))&amp;""</f>
        <v>This question does not apply.</v>
      </c>
      <c r="E164" s="204" t="str">
        <f>VLOOKUP($A164,Product!$A$13:$E$61,5,0)&amp;""</f>
        <v xml:space="preserve">Based on the response to REQU-01 on the "START HERE" tab, this question does not apply to this product or service. </v>
      </c>
      <c r="F164" s="210"/>
      <c r="G164" s="196" t="str">
        <f>VLOOKUP($A164,Questions!$A$2:$X$333,21,0)&amp;""</f>
        <v>Yes</v>
      </c>
      <c r="H164" s="197"/>
      <c r="I164" s="198" t="str">
        <f>VLOOKUP($A164,Questions!$A$2:$X$333,23,0)&amp;""</f>
        <v>Standard Importance</v>
      </c>
      <c r="J164" s="197"/>
      <c r="K164" s="199" t="b">
        <f>FALSE()</f>
        <v>0</v>
      </c>
      <c r="L164" s="3"/>
    </row>
    <row r="165" spans="1:12" s="189" customFormat="1" ht="54" customHeight="1" x14ac:dyDescent="0.15">
      <c r="A165" s="36" t="str">
        <f>Product!$A$57</f>
        <v>DATA-19</v>
      </c>
      <c r="B165" s="37" t="str">
        <f>VLOOKUP($A165,Product!$A$13:$E$61,2,0)&amp;""</f>
        <v>Does the environment provide for dedicated single-tenant capabilities? If not, describe how your solution or environment separates data from different customers (e.g., logically, physically, single tenancy, multi-tenancy).</v>
      </c>
      <c r="C165" s="198" t="str">
        <f>VLOOKUP($A165,Product!$A$13:$E$61,3,0)&amp;""</f>
        <v>N/A</v>
      </c>
      <c r="D165" s="70" t="str">
        <f>IF(LEFT(VLOOKUP($A165,Product!$A$13:$E$61,5,0),21)='Auto Responses'!$A$32,'Auto Responses'!$A$33,VLOOKUP($A165,Product!$A$13:$E$61,4,0))&amp;""</f>
        <v>This question does not apply.</v>
      </c>
      <c r="E165" s="204" t="str">
        <f>VLOOKUP($A165,Product!$A$13:$E$61,5,0)&amp;""</f>
        <v xml:space="preserve">Based on the response to REQU-01 on the "START HERE" tab, this question does not apply to this product or service. </v>
      </c>
      <c r="F165" s="210"/>
      <c r="G165" s="196" t="str">
        <f>VLOOKUP($A165,Questions!$A$2:$X$333,21,0)&amp;""</f>
        <v>Yes</v>
      </c>
      <c r="H165" s="197"/>
      <c r="I165" s="198" t="str">
        <f>VLOOKUP($A165,Questions!$A$2:$X$333,23,0)&amp;""</f>
        <v>Minor Importance</v>
      </c>
      <c r="J165" s="197"/>
      <c r="K165" s="199" t="b">
        <f>FALSE()</f>
        <v>0</v>
      </c>
      <c r="L165" s="3"/>
    </row>
    <row r="166" spans="1:12" s="189" customFormat="1" ht="27" customHeight="1" x14ac:dyDescent="0.15">
      <c r="A166" s="36" t="str">
        <f>Product!$A$58</f>
        <v>DATA-20</v>
      </c>
      <c r="B166" s="37" t="str">
        <f>VLOOKUP($A166,Product!$A$13:$E$61,2,0)&amp;""</f>
        <v>Are ownership rights to all data, inputs, outputs, and metadata retained by the institution?</v>
      </c>
      <c r="C166" s="198" t="str">
        <f>VLOOKUP($A166,Product!$A$13:$E$61,3,0)&amp;""</f>
        <v>N/A</v>
      </c>
      <c r="D166" s="70" t="str">
        <f>IF(LEFT(VLOOKUP($A166,Product!$A$13:$E$61,5,0),21)='Auto Responses'!$A$32,'Auto Responses'!$A$33,VLOOKUP($A166,Product!$A$13:$E$61,4,0))&amp;""</f>
        <v>This question does not apply.</v>
      </c>
      <c r="E166" s="204" t="str">
        <f>VLOOKUP($A166,Product!$A$13:$E$61,5,0)&amp;""</f>
        <v xml:space="preserve">Based on the response to REQU-01 on the "START HERE" tab, this question does not apply to this product or service. </v>
      </c>
      <c r="F166" s="210"/>
      <c r="G166" s="196" t="str">
        <f>VLOOKUP($A166,Questions!$A$2:$X$333,21,0)&amp;""</f>
        <v>Yes</v>
      </c>
      <c r="H166" s="197"/>
      <c r="I166" s="198" t="str">
        <f>VLOOKUP($A166,Questions!$A$2:$X$333,23,0)&amp;""</f>
        <v>Minor Importance</v>
      </c>
      <c r="J166" s="197"/>
      <c r="K166" s="199" t="b">
        <f>FALSE()</f>
        <v>0</v>
      </c>
      <c r="L166" s="3"/>
    </row>
    <row r="167" spans="1:12" s="189" customFormat="1" ht="40.5" customHeight="1" x14ac:dyDescent="0.15">
      <c r="A167" s="36" t="str">
        <f>Product!$A$59</f>
        <v>DATA-21</v>
      </c>
      <c r="B167" s="37" t="str">
        <f>VLOOKUP($A167,Product!$A$13:$E$61,2,0)&amp;""</f>
        <v>In the event of imminent bankruptcy, closing of business, or retirement of service, will you provide 90 days for customers to get their data out of the system and migrate applications?</v>
      </c>
      <c r="C167" s="198" t="str">
        <f>VLOOKUP($A167,Product!$A$13:$E$61,3,0)&amp;""</f>
        <v>N/A</v>
      </c>
      <c r="D167" s="70" t="str">
        <f>IF(LEFT(VLOOKUP($A167,Product!$A$13:$E$61,5,0),21)='Auto Responses'!$A$32,'Auto Responses'!$A$33,VLOOKUP($A167,Product!$A$13:$E$61,4,0))&amp;""</f>
        <v>This question does not apply.</v>
      </c>
      <c r="E167" s="204" t="str">
        <f>VLOOKUP($A167,Product!$A$13:$E$61,5,0)&amp;""</f>
        <v xml:space="preserve">Based on the response to REQU-01 on the "START HERE" tab, this question does not apply to this product or service. </v>
      </c>
      <c r="F167" s="210"/>
      <c r="G167" s="196" t="str">
        <f>VLOOKUP($A167,Questions!$A$2:$X$333,21,0)&amp;""</f>
        <v>Yes</v>
      </c>
      <c r="H167" s="197"/>
      <c r="I167" s="198" t="str">
        <f>VLOOKUP($A167,Questions!$A$2:$X$333,23,0)&amp;""</f>
        <v>Minor Importance</v>
      </c>
      <c r="J167" s="197"/>
      <c r="K167" s="199" t="b">
        <f>FALSE()</f>
        <v>0</v>
      </c>
      <c r="L167" s="3"/>
    </row>
    <row r="168" spans="1:12" s="189" customFormat="1" ht="60" customHeight="1" x14ac:dyDescent="0.15">
      <c r="A168" s="36" t="str">
        <f>Product!$A$60</f>
        <v>DATA-22</v>
      </c>
      <c r="B168" s="37" t="str">
        <f>VLOOKUP($A168,Product!$A$13:$E$61,2,0)&amp;""</f>
        <v>Are involatile backup copies made according to predefined schedules and securely stored and protected?</v>
      </c>
      <c r="C168" s="198" t="str">
        <f>VLOOKUP($A168,Product!$A$13:$E$61,3,0)&amp;""</f>
        <v>N/A</v>
      </c>
      <c r="D168" s="70" t="str">
        <f>IF(LEFT(VLOOKUP($A168,Product!$A$13:$E$61,5,0),21)='Auto Responses'!$A$32,'Auto Responses'!$A$33,VLOOKUP($A168,Product!$A$13:$E$61,4,0))&amp;""</f>
        <v>This question does not apply.</v>
      </c>
      <c r="E168" s="204" t="str">
        <f>VLOOKUP($A168,Product!$A$13:$E$61,5,0)&amp;""</f>
        <v xml:space="preserve">Based on the response to REQU-01 on the "START HERE" tab, this question does not apply to this product or service. </v>
      </c>
      <c r="F168" s="210"/>
      <c r="G168" s="196" t="str">
        <f>VLOOKUP($A168,Questions!$A$2:$X$333,21,0)&amp;""</f>
        <v>Yes</v>
      </c>
      <c r="H168" s="197"/>
      <c r="I168" s="198" t="str">
        <f>VLOOKUP($A168,Questions!$A$2:$X$333,23,0)&amp;""</f>
        <v>Minor Importance</v>
      </c>
      <c r="J168" s="197"/>
      <c r="K168" s="199" t="b">
        <f>FALSE()</f>
        <v>0</v>
      </c>
      <c r="L168" s="3"/>
    </row>
    <row r="169" spans="1:12" s="189" customFormat="1" ht="54" customHeight="1" x14ac:dyDescent="0.15">
      <c r="A169" s="36" t="str">
        <f>Product!$A$61</f>
        <v>DATA-23</v>
      </c>
      <c r="B169" s="37" t="str">
        <f>VLOOKUP($A169,Product!$A$13:$E$61,2,0)&amp;""</f>
        <v>Do you have a cryptographic key management process (generation, exchange, storage, safeguards, use, vetting, and replacement) that is documented and currently implemented, for all system components (e.g., database, system, web, etc.)?</v>
      </c>
      <c r="C169" s="198" t="str">
        <f>VLOOKUP($A169,Product!$A$13:$E$61,3,0)&amp;""</f>
        <v>N/A</v>
      </c>
      <c r="D169" s="70" t="str">
        <f>IF(LEFT(VLOOKUP($A169,Product!$A$13:$E$61,5,0),21)='Auto Responses'!$A$32,'Auto Responses'!$A$33,VLOOKUP($A169,Product!$A$13:$E$61,4,0))&amp;""</f>
        <v>This question does not apply.</v>
      </c>
      <c r="E169" s="204" t="str">
        <f>VLOOKUP($A169,Product!$A$13:$E$61,5,0)&amp;""</f>
        <v xml:space="preserve">Based on the response to REQU-01 on the "START HERE" tab, this question does not apply to this product or service. </v>
      </c>
      <c r="F169" s="210"/>
      <c r="G169" s="196" t="str">
        <f>VLOOKUP($A169,Questions!$A$2:$X$333,21,0)&amp;""</f>
        <v>Yes</v>
      </c>
      <c r="H169" s="197"/>
      <c r="I169" s="198" t="str">
        <f>VLOOKUP($A169,Questions!$A$2:$X$333,23,0)&amp;""</f>
        <v>Minor Importance</v>
      </c>
      <c r="J169" s="197"/>
      <c r="K169" s="199" t="b">
        <f>FALSE()</f>
        <v>0</v>
      </c>
      <c r="L169" s="3"/>
    </row>
    <row r="170" spans="1:12" s="3" customFormat="1" ht="17.25" customHeight="1" x14ac:dyDescent="0.15">
      <c r="A170" s="32" t="str">
        <f>VLOOKUP(LEFT($A171,4),'Auto Responses'!$N$4:$O$38,2,0)&amp;""</f>
        <v xml:space="preserve"> Application/Service Security</v>
      </c>
      <c r="B170" s="41"/>
      <c r="C170" s="42"/>
      <c r="D170" s="42"/>
      <c r="E170" s="203"/>
      <c r="F170" s="191" t="s">
        <v>468</v>
      </c>
      <c r="G170" s="200" t="s">
        <v>463</v>
      </c>
      <c r="H170" s="200" t="s">
        <v>464</v>
      </c>
      <c r="I170" s="200" t="s">
        <v>465</v>
      </c>
      <c r="J170" s="200" t="s">
        <v>466</v>
      </c>
      <c r="K170" s="200" t="s">
        <v>467</v>
      </c>
    </row>
    <row r="171" spans="1:12" s="189" customFormat="1" ht="165" customHeight="1" x14ac:dyDescent="0.15">
      <c r="A171" s="36" t="str">
        <f>Infrastructure!$A$20</f>
        <v>APPL-01</v>
      </c>
      <c r="B171" s="37" t="str">
        <f>VLOOKUP($A171,Infrastructure!$A$13:$E$74,2,0)&amp;""</f>
        <v>Are access controls for institutional accounts based on structured rules, such as role-based access control (RBAC), attribute-based access control (ABAC), or policy-based access control (PBAC)?*</v>
      </c>
      <c r="C171" s="198" t="str">
        <f>VLOOKUP($A171,Infrastructure!$A$13:$E$74,3,0)&amp;""</f>
        <v>N/A</v>
      </c>
      <c r="D171" s="70" t="str">
        <f>IF(LEFT(VLOOKUP($A171,Infrastructure!$A$13:$E$74,5,0),21)='Auto Responses'!$A$32,'Auto Responses'!$A$33,VLOOKUP($A171,Infrastructure!$A$13:$E$74,4,0))&amp;""</f>
        <v>This question does not apply.</v>
      </c>
      <c r="E171" s="204" t="str">
        <f>VLOOKUP($A171,Infrastructure!$A$13:$E$74,5,0)&amp;""</f>
        <v xml:space="preserve">Based on the response to REQU-01 on the "START HERE" tab, this question does not apply to this product or service. </v>
      </c>
      <c r="F171" s="210"/>
      <c r="G171" s="196" t="str">
        <f>VLOOKUP($A171,Questions!$A$2:$X$333,21,0)&amp;""</f>
        <v>Yes</v>
      </c>
      <c r="H171" s="197"/>
      <c r="I171" s="198" t="str">
        <f>VLOOKUP($A171,Questions!$A$2:$X$333,23,0)&amp;""</f>
        <v>Critical Importance</v>
      </c>
      <c r="J171" s="197"/>
      <c r="K171" s="199" t="b">
        <f>FALSE()</f>
        <v>0</v>
      </c>
      <c r="L171" s="3"/>
    </row>
    <row r="172" spans="1:12" s="189" customFormat="1" ht="15" customHeight="1" x14ac:dyDescent="0.15">
      <c r="A172" s="36" t="str">
        <f>Infrastructure!$A$21</f>
        <v>APPL-02</v>
      </c>
      <c r="B172" s="37" t="str">
        <f>VLOOKUP($A172,Infrastructure!$A$13:$E$74,2,0)&amp;""</f>
        <v>Are you using a web application firewall (WAF)?*</v>
      </c>
      <c r="C172" s="198" t="str">
        <f>VLOOKUP($A172,Infrastructure!$A$13:$E$74,3,0)&amp;""</f>
        <v>N/A</v>
      </c>
      <c r="D172" s="70" t="str">
        <f>IF(LEFT(VLOOKUP($A172,Infrastructure!$A$13:$E$74,5,0),21)='Auto Responses'!$A$32,'Auto Responses'!$A$33,VLOOKUP($A172,Infrastructure!$A$13:$E$74,4,0))&amp;""</f>
        <v>This question does not apply.</v>
      </c>
      <c r="E172" s="204" t="str">
        <f>VLOOKUP($A172,Infrastructure!$A$13:$E$74,5,0)&amp;""</f>
        <v xml:space="preserve">Based on the response to REQU-01 on the "START HERE" tab, this question does not apply to this product or service. </v>
      </c>
      <c r="F172" s="210"/>
      <c r="G172" s="196" t="str">
        <f>VLOOKUP($A172,Questions!$A$2:$X$333,21,0)&amp;""</f>
        <v>Yes</v>
      </c>
      <c r="H172" s="197"/>
      <c r="I172" s="198" t="str">
        <f>VLOOKUP($A172,Questions!$A$2:$X$333,23,0)&amp;""</f>
        <v>Critical Importance</v>
      </c>
      <c r="J172" s="197"/>
      <c r="K172" s="199" t="b">
        <f>FALSE()</f>
        <v>0</v>
      </c>
      <c r="L172" s="3"/>
    </row>
    <row r="173" spans="1:12" s="189" customFormat="1" ht="90" customHeight="1" x14ac:dyDescent="0.15">
      <c r="A173" s="36" t="str">
        <f>Infrastructure!$A$22</f>
        <v>APPL-03</v>
      </c>
      <c r="B173" s="37" t="str">
        <f>VLOOKUP($A173,Infrastructure!$A$13:$E$74,2,0)&amp;""</f>
        <v>Are only currently supported operating system(s), software, and libraries leveraged by the system(s)/application(s) that will have access to institution's data?*</v>
      </c>
      <c r="C173" s="198" t="str">
        <f>VLOOKUP($A173,Infrastructure!$A$13:$E$74,3,0)&amp;""</f>
        <v>N/A</v>
      </c>
      <c r="D173" s="70" t="str">
        <f>IF(LEFT(VLOOKUP($A173,Infrastructure!$A$13:$E$74,5,0),21)='Auto Responses'!$A$32,'Auto Responses'!$A$33,VLOOKUP($A173,Infrastructure!$A$13:$E$74,4,0))&amp;""</f>
        <v>This question does not apply.</v>
      </c>
      <c r="E173" s="204" t="str">
        <f>VLOOKUP($A173,Infrastructure!$A$13:$E$74,5,0)&amp;""</f>
        <v xml:space="preserve">Based on the response to REQU-01 on the "START HERE" tab, this question does not apply to this product or service. </v>
      </c>
      <c r="F173" s="210"/>
      <c r="G173" s="196" t="str">
        <f>VLOOKUP($A173,Questions!$A$2:$X$333,21,0)&amp;""</f>
        <v>Yes</v>
      </c>
      <c r="H173" s="197"/>
      <c r="I173" s="198" t="str">
        <f>VLOOKUP($A173,Questions!$A$2:$X$333,23,0)&amp;""</f>
        <v>Critical Importance</v>
      </c>
      <c r="J173" s="197"/>
      <c r="K173" s="199" t="b">
        <f>FALSE()</f>
        <v>0</v>
      </c>
      <c r="L173" s="3"/>
    </row>
    <row r="174" spans="1:12" s="189" customFormat="1" ht="15" customHeight="1" x14ac:dyDescent="0.15">
      <c r="A174" s="36" t="str">
        <f>Infrastructure!$A$23</f>
        <v>APPL-04</v>
      </c>
      <c r="B174" s="37" t="str">
        <f>VLOOKUP($A174,Infrastructure!$A$13:$E$74,2,0)&amp;""</f>
        <v>Does your application require access to location or GPS data?*</v>
      </c>
      <c r="C174" s="198" t="str">
        <f>VLOOKUP($A174,Infrastructure!$A$13:$E$74,3,0)&amp;""</f>
        <v>N/A</v>
      </c>
      <c r="D174" s="70" t="str">
        <f>IF(LEFT(VLOOKUP($A174,Infrastructure!$A$13:$E$74,5,0),21)='Auto Responses'!$A$32,'Auto Responses'!$A$33,VLOOKUP($A174,Infrastructure!$A$13:$E$74,4,0))&amp;""</f>
        <v>This question does not apply.</v>
      </c>
      <c r="E174" s="204" t="str">
        <f>VLOOKUP($A174,Infrastructure!$A$13:$E$74,5,0)&amp;""</f>
        <v xml:space="preserve">Based on the response to REQU-01 on the "START HERE" tab, this question does not apply to this product or service. </v>
      </c>
      <c r="F174" s="210"/>
      <c r="G174" s="196" t="str">
        <f>VLOOKUP($A174,Questions!$A$2:$X$333,21,0)&amp;""</f>
        <v>No</v>
      </c>
      <c r="H174" s="197"/>
      <c r="I174" s="198" t="str">
        <f>VLOOKUP($A174,Questions!$A$2:$X$333,23,0)&amp;""</f>
        <v>Critical Importance</v>
      </c>
      <c r="J174" s="197"/>
      <c r="K174" s="199" t="b">
        <f>FALSE()</f>
        <v>0</v>
      </c>
      <c r="L174" s="3"/>
    </row>
    <row r="175" spans="1:12" s="189" customFormat="1" ht="27" customHeight="1" x14ac:dyDescent="0.15">
      <c r="A175" s="36" t="str">
        <f>Infrastructure!$A$24</f>
        <v>APPL-05</v>
      </c>
      <c r="B175" s="37" t="str">
        <f>VLOOKUP($A175,Infrastructure!$A$13:$E$74,2,0)&amp;""</f>
        <v>Does your application provide separation of duties between security administration, system administration, and standard user functions?*</v>
      </c>
      <c r="C175" s="198" t="str">
        <f>VLOOKUP($A175,Infrastructure!$A$13:$E$74,3,0)&amp;""</f>
        <v>N/A</v>
      </c>
      <c r="D175" s="70" t="str">
        <f>IF(LEFT(VLOOKUP($A175,Infrastructure!$A$13:$E$74,5,0),21)='Auto Responses'!$A$32,'Auto Responses'!$A$33,VLOOKUP($A175,Infrastructure!$A$13:$E$74,4,0))&amp;""</f>
        <v>This question does not apply.</v>
      </c>
      <c r="E175" s="204" t="str">
        <f>VLOOKUP($A175,Infrastructure!$A$13:$E$74,5,0)&amp;""</f>
        <v xml:space="preserve">Based on the response to REQU-01 on the "START HERE" tab, this question does not apply to this product or service. </v>
      </c>
      <c r="F175" s="210"/>
      <c r="G175" s="196" t="str">
        <f>VLOOKUP($A175,Questions!$A$2:$X$333,21,0)&amp;""</f>
        <v>Yes</v>
      </c>
      <c r="H175" s="197"/>
      <c r="I175" s="198" t="str">
        <f>VLOOKUP($A175,Questions!$A$2:$X$333,23,0)&amp;""</f>
        <v>Critical Importance</v>
      </c>
      <c r="J175" s="197"/>
      <c r="K175" s="199" t="b">
        <f>FALSE()</f>
        <v>0</v>
      </c>
      <c r="L175" s="3"/>
    </row>
    <row r="176" spans="1:12" s="189" customFormat="1" ht="27" customHeight="1" x14ac:dyDescent="0.15">
      <c r="A176" s="36" t="str">
        <f>Infrastructure!$A$25</f>
        <v>APPL-06</v>
      </c>
      <c r="B176" s="37" t="str">
        <f>VLOOKUP($A176,Infrastructure!$A$13:$E$74,2,0)&amp;""</f>
        <v>Do you subject your code to static code analysis and/or static application security testing prior to release?*</v>
      </c>
      <c r="C176" s="198" t="str">
        <f>VLOOKUP($A176,Infrastructure!$A$13:$E$74,3,0)&amp;""</f>
        <v>N/A</v>
      </c>
      <c r="D176" s="70" t="str">
        <f>IF(LEFT(VLOOKUP($A176,Infrastructure!$A$13:$E$74,5,0),21)='Auto Responses'!$A$32,'Auto Responses'!$A$33,VLOOKUP($A176,Infrastructure!$A$13:$E$74,4,0))&amp;""</f>
        <v>This question does not apply.</v>
      </c>
      <c r="E176" s="204" t="str">
        <f>VLOOKUP($A176,Infrastructure!$A$13:$E$74,5,0)&amp;""</f>
        <v xml:space="preserve">Based on the response to REQU-01 on the "START HERE" tab, this question does not apply to this product or service. </v>
      </c>
      <c r="F176" s="210"/>
      <c r="G176" s="196" t="str">
        <f>VLOOKUP($A176,Questions!$A$2:$X$333,21,0)&amp;""</f>
        <v>Yes</v>
      </c>
      <c r="H176" s="197"/>
      <c r="I176" s="198" t="str">
        <f>VLOOKUP($A176,Questions!$A$2:$X$333,23,0)&amp;""</f>
        <v>Critical Importance</v>
      </c>
      <c r="J176" s="197"/>
      <c r="K176" s="199" t="b">
        <f>FALSE()</f>
        <v>0</v>
      </c>
      <c r="L176" s="3"/>
    </row>
    <row r="177" spans="1:12" s="189" customFormat="1" ht="27" customHeight="1" x14ac:dyDescent="0.15">
      <c r="A177" s="36" t="str">
        <f>Infrastructure!$A$26</f>
        <v>APPL-07</v>
      </c>
      <c r="B177" s="37" t="str">
        <f>VLOOKUP($A177,Infrastructure!$A$13:$E$74,2,0)&amp;""</f>
        <v>Do you have software testing processes (dynamic or static) that are established and followed?*</v>
      </c>
      <c r="C177" s="198" t="str">
        <f>VLOOKUP($A177,Infrastructure!$A$13:$E$74,3,0)&amp;""</f>
        <v>N/A</v>
      </c>
      <c r="D177" s="70" t="str">
        <f>IF(LEFT(VLOOKUP($A177,Infrastructure!$A$13:$E$74,5,0),21)='Auto Responses'!$A$32,'Auto Responses'!$A$33,VLOOKUP($A177,Infrastructure!$A$13:$E$74,4,0))&amp;""</f>
        <v>This question does not apply.</v>
      </c>
      <c r="E177" s="204" t="str">
        <f>VLOOKUP($A177,Infrastructure!$A$13:$E$74,5,0)&amp;""</f>
        <v xml:space="preserve">Based on the response to REQU-01 on the "START HERE" tab, this question does not apply to this product or service. </v>
      </c>
      <c r="F177" s="210"/>
      <c r="G177" s="196" t="str">
        <f>VLOOKUP($A177,Questions!$A$2:$X$333,21,0)&amp;""</f>
        <v>Yes</v>
      </c>
      <c r="H177" s="197"/>
      <c r="I177" s="198" t="str">
        <f>VLOOKUP($A177,Questions!$A$2:$X$333,23,0)&amp;""</f>
        <v>Critical Importance</v>
      </c>
      <c r="J177" s="197"/>
      <c r="K177" s="199" t="b">
        <f>FALSE()</f>
        <v>0</v>
      </c>
      <c r="L177" s="3"/>
    </row>
    <row r="178" spans="1:12" s="189" customFormat="1" ht="180" customHeight="1" x14ac:dyDescent="0.15">
      <c r="A178" s="36" t="str">
        <f>Infrastructure!$A$27</f>
        <v>APPL-08</v>
      </c>
      <c r="B178" s="37" t="str">
        <f>VLOOKUP($A178,Infrastructure!$A$13:$E$74,2,0)&amp;""</f>
        <v>Are access controls for staff within your organization based on structured rules, such as RBAC, ABAC, or PBAC?</v>
      </c>
      <c r="C178" s="198" t="str">
        <f>VLOOKUP($A178,Infrastructure!$A$13:$E$74,3,0)&amp;""</f>
        <v>N/A</v>
      </c>
      <c r="D178" s="70" t="str">
        <f>IF(LEFT(VLOOKUP($A178,Infrastructure!$A$13:$E$74,5,0),21)='Auto Responses'!$A$32,'Auto Responses'!$A$33,VLOOKUP($A178,Infrastructure!$A$13:$E$74,4,0))&amp;""</f>
        <v>This question does not apply.</v>
      </c>
      <c r="E178" s="204" t="str">
        <f>VLOOKUP($A178,Infrastructure!$A$13:$E$74,5,0)&amp;""</f>
        <v xml:space="preserve">Based on the response to REQU-01 on the "START HERE" tab, this question does not apply to this product or service. </v>
      </c>
      <c r="F178" s="210"/>
      <c r="G178" s="196" t="str">
        <f>VLOOKUP($A178,Questions!$A$2:$X$333,21,0)&amp;""</f>
        <v>Yes</v>
      </c>
      <c r="H178" s="197"/>
      <c r="I178" s="198" t="str">
        <f>VLOOKUP($A178,Questions!$A$2:$X$333,23,0)&amp;""</f>
        <v>Standard Importance</v>
      </c>
      <c r="J178" s="197"/>
      <c r="K178" s="199" t="b">
        <f>FALSE()</f>
        <v>0</v>
      </c>
      <c r="L178" s="3"/>
    </row>
    <row r="179" spans="1:12" s="189" customFormat="1" ht="15" customHeight="1" x14ac:dyDescent="0.15">
      <c r="A179" s="36" t="str">
        <f>Infrastructure!$A$28</f>
        <v>APPL-09</v>
      </c>
      <c r="B179" s="37" t="str">
        <f>VLOOKUP($A179,Infrastructure!$A$13:$E$74,2,0)&amp;""</f>
        <v>Does the system provide data input validation and error messages?</v>
      </c>
      <c r="C179" s="198" t="str">
        <f>VLOOKUP($A179,Infrastructure!$A$13:$E$74,3,0)&amp;""</f>
        <v>N/A</v>
      </c>
      <c r="D179" s="70" t="str">
        <f>IF(LEFT(VLOOKUP($A179,Infrastructure!$A$13:$E$74,5,0),21)='Auto Responses'!$A$32,'Auto Responses'!$A$33,VLOOKUP($A179,Infrastructure!$A$13:$E$74,4,0))&amp;""</f>
        <v>This question does not apply.</v>
      </c>
      <c r="E179" s="204" t="str">
        <f>VLOOKUP($A179,Infrastructure!$A$13:$E$74,5,0)&amp;""</f>
        <v xml:space="preserve">Based on the response to REQU-01 on the "START HERE" tab, this question does not apply to this product or service. </v>
      </c>
      <c r="F179" s="210"/>
      <c r="G179" s="196" t="str">
        <f>VLOOKUP($A179,Questions!$A$2:$X$333,21,0)&amp;""</f>
        <v>Yes</v>
      </c>
      <c r="H179" s="197"/>
      <c r="I179" s="198" t="str">
        <f>VLOOKUP($A179,Questions!$A$2:$X$333,23,0)&amp;""</f>
        <v>Standard Importance</v>
      </c>
      <c r="J179" s="197"/>
      <c r="K179" s="199" t="b">
        <f>FALSE()</f>
        <v>0</v>
      </c>
      <c r="L179" s="3"/>
    </row>
    <row r="180" spans="1:12" s="189" customFormat="1" ht="45" customHeight="1" x14ac:dyDescent="0.15">
      <c r="A180" s="36" t="str">
        <f>Infrastructure!$A$29</f>
        <v>APPL-10</v>
      </c>
      <c r="B180" s="37" t="str">
        <f>VLOOKUP($A180,Infrastructure!$A$13:$E$74,2,0)&amp;""</f>
        <v>Do you have a process and implemented procedures for managing your software supply chain (e.g., libraries, repositories, frameworks, etc.)?</v>
      </c>
      <c r="C180" s="198" t="str">
        <f>VLOOKUP($A180,Infrastructure!$A$13:$E$74,3,0)&amp;""</f>
        <v>N/A</v>
      </c>
      <c r="D180" s="70" t="str">
        <f>IF(LEFT(VLOOKUP($A180,Infrastructure!$A$13:$E$74,5,0),21)='Auto Responses'!$A$32,'Auto Responses'!$A$33,VLOOKUP($A180,Infrastructure!$A$13:$E$74,4,0))&amp;""</f>
        <v>This question does not apply.</v>
      </c>
      <c r="E180" s="204" t="str">
        <f>VLOOKUP($A180,Infrastructure!$A$13:$E$74,5,0)&amp;""</f>
        <v xml:space="preserve">Based on the response to REQU-01 on the "START HERE" tab, this question does not apply to this product or service. </v>
      </c>
      <c r="F180" s="210"/>
      <c r="G180" s="196" t="str">
        <f>VLOOKUP($A180,Questions!$A$2:$X$333,21,0)&amp;""</f>
        <v>Yes</v>
      </c>
      <c r="H180" s="197"/>
      <c r="I180" s="198" t="str">
        <f>VLOOKUP($A180,Questions!$A$2:$X$333,23,0)&amp;""</f>
        <v>Standard Importance</v>
      </c>
      <c r="J180" s="197"/>
      <c r="K180" s="199" t="b">
        <f>FALSE()</f>
        <v>0</v>
      </c>
      <c r="L180" s="3"/>
    </row>
    <row r="181" spans="1:12" s="189" customFormat="1" ht="15" customHeight="1" x14ac:dyDescent="0.15">
      <c r="A181" s="36" t="str">
        <f>Infrastructure!$A$30</f>
        <v>APPL-11</v>
      </c>
      <c r="B181" s="37" t="str">
        <f>VLOOKUP($A181,Infrastructure!$A$13:$E$74,2,0)&amp;""</f>
        <v>Have your developers been trained in secure coding techniques?</v>
      </c>
      <c r="C181" s="198" t="str">
        <f>VLOOKUP($A181,Infrastructure!$A$13:$E$74,3,0)&amp;""</f>
        <v>N/A</v>
      </c>
      <c r="D181" s="70" t="str">
        <f>IF(LEFT(VLOOKUP($A181,Infrastructure!$A$13:$E$74,5,0),21)='Auto Responses'!$A$32,'Auto Responses'!$A$33,VLOOKUP($A181,Infrastructure!$A$13:$E$74,4,0))&amp;""</f>
        <v>This question does not apply.</v>
      </c>
      <c r="E181" s="204" t="str">
        <f>VLOOKUP($A181,Infrastructure!$A$13:$E$74,5,0)&amp;""</f>
        <v xml:space="preserve">Based on the response to REQU-01 on the "START HERE" tab, this question does not apply to this product or service. </v>
      </c>
      <c r="F181" s="210"/>
      <c r="G181" s="196" t="str">
        <f>VLOOKUP($A181,Questions!$A$2:$X$333,21,0)&amp;""</f>
        <v>Yes</v>
      </c>
      <c r="H181" s="197"/>
      <c r="I181" s="198" t="str">
        <f>VLOOKUP($A181,Questions!$A$2:$X$333,23,0)&amp;""</f>
        <v>Standard Importance</v>
      </c>
      <c r="J181" s="197"/>
      <c r="K181" s="199" t="b">
        <f>FALSE()</f>
        <v>0</v>
      </c>
      <c r="L181" s="3"/>
    </row>
    <row r="182" spans="1:12" s="189" customFormat="1" ht="15" customHeight="1" x14ac:dyDescent="0.15">
      <c r="A182" s="36" t="str">
        <f>Infrastructure!$A$31</f>
        <v>APPL-12</v>
      </c>
      <c r="B182" s="37" t="str">
        <f>VLOOKUP($A182,Infrastructure!$A$13:$E$74,2,0)&amp;""</f>
        <v>Was your application developed using secure coding techniques?</v>
      </c>
      <c r="C182" s="198" t="str">
        <f>VLOOKUP($A182,Infrastructure!$A$13:$E$74,3,0)&amp;""</f>
        <v>N/A</v>
      </c>
      <c r="D182" s="70" t="str">
        <f>IF(LEFT(VLOOKUP($A182,Infrastructure!$A$13:$E$74,5,0),21)='Auto Responses'!$A$32,'Auto Responses'!$A$33,VLOOKUP($A182,Infrastructure!$A$13:$E$74,4,0))&amp;""</f>
        <v>This question does not apply.</v>
      </c>
      <c r="E182" s="204" t="str">
        <f>VLOOKUP($A182,Infrastructure!$A$13:$E$74,5,0)&amp;""</f>
        <v xml:space="preserve">Based on the response to REQU-01 on the "START HERE" tab, this question does not apply to this product or service. </v>
      </c>
      <c r="F182" s="210"/>
      <c r="G182" s="196" t="str">
        <f>VLOOKUP($A182,Questions!$A$2:$X$333,21,0)&amp;""</f>
        <v>Yes</v>
      </c>
      <c r="H182" s="197"/>
      <c r="I182" s="198" t="str">
        <f>VLOOKUP($A182,Questions!$A$2:$X$333,23,0)&amp;""</f>
        <v>Standard Importance</v>
      </c>
      <c r="J182" s="197"/>
      <c r="K182" s="199" t="b">
        <f>FALSE()</f>
        <v>0</v>
      </c>
      <c r="L182" s="3"/>
    </row>
    <row r="183" spans="1:12" s="189" customFormat="1" ht="45" customHeight="1" x14ac:dyDescent="0.15">
      <c r="A183" s="36" t="str">
        <f>Infrastructure!$A$32</f>
        <v>APPL-13</v>
      </c>
      <c r="B183" s="37" t="str">
        <f>VLOOKUP($A183,Infrastructure!$A$13:$E$74,2,0)&amp;""</f>
        <v>If mobile, is the application available from a trusted source (e.g., App Store, Google Play Store)?</v>
      </c>
      <c r="C183" s="198" t="str">
        <f>VLOOKUP($A183,Infrastructure!$A$13:$E$74,3,0)&amp;""</f>
        <v>N/A</v>
      </c>
      <c r="D183" s="70" t="str">
        <f>IF(LEFT(VLOOKUP($A183,Infrastructure!$A$13:$E$74,5,0),21)='Auto Responses'!$A$32,'Auto Responses'!$A$33,VLOOKUP($A183,Infrastructure!$A$13:$E$74,4,0))&amp;""</f>
        <v>This question does not apply.</v>
      </c>
      <c r="E183" s="204" t="str">
        <f>VLOOKUP($A183,Infrastructure!$A$13:$E$74,5,0)&amp;""</f>
        <v xml:space="preserve">Based on the response to REQU-01 on the "START HERE" tab, this question does not apply to this product or service. </v>
      </c>
      <c r="F183" s="210"/>
      <c r="G183" s="196" t="str">
        <f>VLOOKUP($A183,Questions!$A$2:$X$333,21,0)&amp;""</f>
        <v>Yes</v>
      </c>
      <c r="H183" s="197"/>
      <c r="I183" s="198" t="str">
        <f>VLOOKUP($A183,Questions!$A$2:$X$333,23,0)&amp;""</f>
        <v>Minor Importance</v>
      </c>
      <c r="J183" s="197"/>
      <c r="K183" s="199" t="b">
        <f>FALSE()</f>
        <v>0</v>
      </c>
      <c r="L183" s="3"/>
    </row>
    <row r="184" spans="1:12" s="189" customFormat="1" ht="40.5" customHeight="1" x14ac:dyDescent="0.15">
      <c r="A184" s="36" t="str">
        <f>Infrastructure!$A$33</f>
        <v>APPL-14</v>
      </c>
      <c r="B184" s="37" t="str">
        <f>VLOOKUP($A184,Infrastructure!$A$13:$E$74,2,0)&amp;""</f>
        <v>Do you have a fully implemented policy or procedure that details how your employees obtain administrator access to institutional instance of the application?</v>
      </c>
      <c r="C184" s="198" t="str">
        <f>VLOOKUP($A184,Infrastructure!$A$13:$E$74,3,0)&amp;""</f>
        <v>N/A</v>
      </c>
      <c r="D184" s="70" t="str">
        <f>IF(LEFT(VLOOKUP($A184,Infrastructure!$A$13:$E$74,5,0),21)='Auto Responses'!$A$32,'Auto Responses'!$A$33,VLOOKUP($A184,Infrastructure!$A$13:$E$74,4,0))&amp;""</f>
        <v>This question does not apply.</v>
      </c>
      <c r="E184" s="204" t="str">
        <f>VLOOKUP($A184,Infrastructure!$A$13:$E$74,5,0)&amp;""</f>
        <v xml:space="preserve">Based on the response to REQU-01 on the "START HERE" tab, this question does not apply to this product or service. </v>
      </c>
      <c r="F184" s="210"/>
      <c r="G184" s="196" t="str">
        <f>VLOOKUP($A184,Questions!$A$2:$X$333,21,0)&amp;""</f>
        <v>Yes</v>
      </c>
      <c r="H184" s="197"/>
      <c r="I184" s="198" t="str">
        <f>VLOOKUP($A184,Questions!$A$2:$X$333,23,0)&amp;""</f>
        <v>Minor Importance</v>
      </c>
      <c r="J184" s="197"/>
      <c r="K184" s="199" t="b">
        <f>FALSE()</f>
        <v>0</v>
      </c>
      <c r="L184" s="3"/>
    </row>
    <row r="185" spans="1:12" s="3" customFormat="1" ht="17.25" customHeight="1" x14ac:dyDescent="0.15">
      <c r="A185" s="32" t="str">
        <f>VLOOKUP(LEFT($A186,4),'Auto Responses'!$N$4:$O$38,2,0)&amp;""</f>
        <v xml:space="preserve"> Datacenter</v>
      </c>
      <c r="B185" s="41"/>
      <c r="C185" s="42"/>
      <c r="D185" s="42"/>
      <c r="E185" s="203"/>
      <c r="F185" s="191" t="s">
        <v>468</v>
      </c>
      <c r="G185" s="200" t="s">
        <v>463</v>
      </c>
      <c r="H185" s="200" t="s">
        <v>464</v>
      </c>
      <c r="I185" s="200" t="s">
        <v>465</v>
      </c>
      <c r="J185" s="200" t="s">
        <v>466</v>
      </c>
      <c r="K185" s="200" t="s">
        <v>467</v>
      </c>
    </row>
    <row r="186" spans="1:12" s="189" customFormat="1" ht="120" customHeight="1" x14ac:dyDescent="0.15">
      <c r="A186" s="36" t="str">
        <f>Infrastructure!$A$35</f>
        <v>DCTR-01</v>
      </c>
      <c r="B186" s="37" t="str">
        <f>VLOOKUP($A186,Infrastructure!$A$13:$E$74,2,0)&amp;""</f>
        <v>Select your hosting option.</v>
      </c>
      <c r="C186" s="198" t="str">
        <f>VLOOKUP($A186,Infrastructure!$A$13:$E$74,3,0)&amp;""</f>
        <v>N/A</v>
      </c>
      <c r="D186" s="70" t="str">
        <f>IF(LEFT(VLOOKUP($A186,Infrastructure!$A$13:$E$74,5,0),21)='Auto Responses'!$A$32,'Auto Responses'!$A$33,VLOOKUP($A186,Infrastructure!$A$13:$E$74,4,0))&amp;""</f>
        <v/>
      </c>
      <c r="E186" s="204" t="str">
        <f>VLOOKUP($A186,Infrastructure!$A$13:$E$74,5,0)&amp;""</f>
        <v/>
      </c>
      <c r="F186" s="210"/>
      <c r="G186" s="196" t="str">
        <f>VLOOKUP($A186,Questions!$A$2:$X$333,21,0)&amp;""</f>
        <v>Not scored</v>
      </c>
      <c r="H186" s="197"/>
      <c r="I186" s="198" t="str">
        <f>VLOOKUP($A186,Questions!$A$2:$X$333,23,0)&amp;""</f>
        <v/>
      </c>
      <c r="J186" s="197"/>
      <c r="K186" s="199" t="b">
        <f>FALSE()</f>
        <v>0</v>
      </c>
      <c r="L186" s="3"/>
    </row>
    <row r="187" spans="1:12" s="189" customFormat="1" ht="15" customHeight="1" x14ac:dyDescent="0.15">
      <c r="A187" s="36" t="str">
        <f>Infrastructure!$A$36</f>
        <v>DCTR-02</v>
      </c>
      <c r="B187" s="37" t="str">
        <f>VLOOKUP($A187,Infrastructure!$A$13:$E$74,2,0)&amp;""</f>
        <v>Is a SOC 2 Type 2 report available for the hosting environment?</v>
      </c>
      <c r="C187" s="198" t="str">
        <f>VLOOKUP($A187,Infrastructure!$A$13:$E$74,3,0)&amp;""</f>
        <v>N/A</v>
      </c>
      <c r="D187" s="70" t="str">
        <f>IF(LEFT(VLOOKUP($A187,Infrastructure!$A$13:$E$74,5,0),21)='Auto Responses'!$A$32,'Auto Responses'!$A$33,VLOOKUP($A187,Infrastructure!$A$13:$E$74,4,0))&amp;""</f>
        <v/>
      </c>
      <c r="E187" s="204" t="str">
        <f>VLOOKUP($A187,Infrastructure!$A$13:$E$74,5,0)&amp;""</f>
        <v/>
      </c>
      <c r="F187" s="210"/>
      <c r="G187" s="196" t="str">
        <f>VLOOKUP($A187,Questions!$A$2:$X$333,21,0)&amp;""</f>
        <v>Yes</v>
      </c>
      <c r="H187" s="197"/>
      <c r="I187" s="198" t="str">
        <f>VLOOKUP($A187,Questions!$A$2:$X$333,23,0)&amp;""</f>
        <v>Standard Importance</v>
      </c>
      <c r="J187" s="197"/>
      <c r="K187" s="199" t="b">
        <f>FALSE()</f>
        <v>0</v>
      </c>
      <c r="L187" s="3"/>
    </row>
    <row r="188" spans="1:12" s="189" customFormat="1" ht="27" customHeight="1" x14ac:dyDescent="0.15">
      <c r="A188" s="36" t="str">
        <f>Infrastructure!$A$37</f>
        <v>DCTR-03</v>
      </c>
      <c r="B188" s="37" t="str">
        <f>VLOOKUP($A188,Infrastructure!$A$13:$E$74,2,0)&amp;""</f>
        <v>Are you generally able to accommodate storing each institution's data within its geographic region?</v>
      </c>
      <c r="C188" s="198" t="str">
        <f>VLOOKUP($A188,Infrastructure!$A$13:$E$74,3,0)&amp;""</f>
        <v>N/A</v>
      </c>
      <c r="D188" s="70" t="str">
        <f>IF(LEFT(VLOOKUP($A188,Infrastructure!$A$13:$E$74,5,0),21)='Auto Responses'!$A$32,'Auto Responses'!$A$33,VLOOKUP($A188,Infrastructure!$A$13:$E$74,4,0))&amp;""</f>
        <v/>
      </c>
      <c r="E188" s="204" t="str">
        <f>VLOOKUP($A188,Infrastructure!$A$13:$E$74,5,0)&amp;""</f>
        <v>Please indicate which geographic regions you can provide storage in the Additional Info column.</v>
      </c>
      <c r="F188" s="210"/>
      <c r="G188" s="196" t="str">
        <f>VLOOKUP($A188,Questions!$A$2:$X$333,21,0)&amp;""</f>
        <v>Yes</v>
      </c>
      <c r="H188" s="197"/>
      <c r="I188" s="198" t="str">
        <f>VLOOKUP($A188,Questions!$A$2:$X$333,23,0)&amp;""</f>
        <v>Standard Importance</v>
      </c>
      <c r="J188" s="197"/>
      <c r="K188" s="199" t="b">
        <f>FALSE()</f>
        <v>0</v>
      </c>
      <c r="L188" s="3"/>
    </row>
    <row r="189" spans="1:12" s="189" customFormat="1" ht="27" customHeight="1" x14ac:dyDescent="0.15">
      <c r="A189" s="36" t="str">
        <f>Infrastructure!$A$38</f>
        <v>DCTR-04</v>
      </c>
      <c r="B189" s="37" t="str">
        <f>VLOOKUP($A189,Infrastructure!$A$13:$E$74,2,0)&amp;""</f>
        <v>Are the data centers staffed 24 hours a day, seven days a week (i.e., 24 x 7 x 365)?</v>
      </c>
      <c r="C189" s="198" t="str">
        <f>VLOOKUP($A189,Infrastructure!$A$13:$E$74,3,0)&amp;""</f>
        <v>N/A</v>
      </c>
      <c r="D189" s="70" t="str">
        <f>IF(LEFT(VLOOKUP($A189,Infrastructure!$A$13:$E$74,5,0),21)='Auto Responses'!$A$32,'Auto Responses'!$A$33,VLOOKUP($A189,Infrastructure!$A$13:$E$74,4,0))&amp;""</f>
        <v/>
      </c>
      <c r="E189" s="204" t="str">
        <f>VLOOKUP($A189,Infrastructure!$A$13:$E$74,5,0)&amp;""</f>
        <v/>
      </c>
      <c r="F189" s="210"/>
      <c r="G189" s="196" t="str">
        <f>VLOOKUP($A189,Questions!$A$2:$X$333,21,0)&amp;""</f>
        <v>Yes</v>
      </c>
      <c r="H189" s="197"/>
      <c r="I189" s="198" t="str">
        <f>VLOOKUP($A189,Questions!$A$2:$X$333,23,0)&amp;""</f>
        <v>Standard Importance</v>
      </c>
      <c r="J189" s="197"/>
      <c r="K189" s="199" t="b">
        <f>FALSE()</f>
        <v>0</v>
      </c>
      <c r="L189" s="3"/>
    </row>
    <row r="190" spans="1:12" s="189" customFormat="1" ht="27" customHeight="1" x14ac:dyDescent="0.15">
      <c r="A190" s="36" t="str">
        <f>Infrastructure!$A$39</f>
        <v>DCTR-05</v>
      </c>
      <c r="B190" s="37" t="str">
        <f>VLOOKUP($A190,Infrastructure!$A$13:$E$74,2,0)&amp;""</f>
        <v>Are your servers separated from other companies via a physical barrier, such as a cage or hard walls?</v>
      </c>
      <c r="C190" s="198" t="str">
        <f>VLOOKUP($A190,Infrastructure!$A$13:$E$74,3,0)&amp;""</f>
        <v>N/A</v>
      </c>
      <c r="D190" s="70" t="str">
        <f>IF(LEFT(VLOOKUP($A190,Infrastructure!$A$13:$E$74,5,0),21)='Auto Responses'!$A$32,'Auto Responses'!$A$33,VLOOKUP($A190,Infrastructure!$A$13:$E$74,4,0))&amp;""</f>
        <v/>
      </c>
      <c r="E190" s="204" t="str">
        <f>VLOOKUP($A190,Infrastructure!$A$13:$E$74,5,0)&amp;""</f>
        <v/>
      </c>
      <c r="F190" s="210"/>
      <c r="G190" s="196" t="str">
        <f>VLOOKUP($A190,Questions!$A$2:$X$333,21,0)&amp;""</f>
        <v>Yes</v>
      </c>
      <c r="H190" s="197"/>
      <c r="I190" s="198" t="str">
        <f>VLOOKUP($A190,Questions!$A$2:$X$333,23,0)&amp;""</f>
        <v>Standard Importance</v>
      </c>
      <c r="J190" s="197"/>
      <c r="K190" s="199" t="b">
        <f>FALSE()</f>
        <v>0</v>
      </c>
      <c r="L190" s="3"/>
    </row>
    <row r="191" spans="1:12" s="189" customFormat="1" ht="27" customHeight="1" x14ac:dyDescent="0.15">
      <c r="A191" s="36" t="str">
        <f>Infrastructure!$A$40</f>
        <v>DCTR-06</v>
      </c>
      <c r="B191" s="37" t="str">
        <f>VLOOKUP($A191,Infrastructure!$A$13:$E$74,2,0)&amp;""</f>
        <v>Does a physical barrier fully enclose the physical space, preventing unauthorized physical contact with any of your devices?*</v>
      </c>
      <c r="C191" s="198" t="str">
        <f>VLOOKUP($A191,Infrastructure!$A$13:$E$74,3,0)&amp;""</f>
        <v>N/A</v>
      </c>
      <c r="D191" s="70" t="str">
        <f>IF(LEFT(VLOOKUP($A191,Infrastructure!$A$13:$E$74,5,0),21)='Auto Responses'!$A$32,'Auto Responses'!$A$33,VLOOKUP($A191,Infrastructure!$A$13:$E$74,4,0))&amp;""</f>
        <v/>
      </c>
      <c r="E191" s="204" t="str">
        <f>VLOOKUP($A191,Infrastructure!$A$13:$E$74,5,0)&amp;""</f>
        <v/>
      </c>
      <c r="F191" s="210"/>
      <c r="G191" s="196" t="str">
        <f>VLOOKUP($A191,Questions!$A$2:$X$333,21,0)&amp;""</f>
        <v>Yes</v>
      </c>
      <c r="H191" s="197" t="s">
        <v>470</v>
      </c>
      <c r="I191" s="198" t="str">
        <f>VLOOKUP($A191,Questions!$A$2:$X$333,23,0)&amp;""</f>
        <v>Critical Importance</v>
      </c>
      <c r="J191" s="197"/>
      <c r="K191" s="199" t="b">
        <f>FALSE()</f>
        <v>0</v>
      </c>
      <c r="L191" s="3"/>
    </row>
    <row r="192" spans="1:12" s="189" customFormat="1" ht="15" customHeight="1" x14ac:dyDescent="0.15">
      <c r="A192" s="36" t="str">
        <f>Infrastructure!$A$41</f>
        <v>DCTR-07</v>
      </c>
      <c r="B192" s="37" t="str">
        <f>VLOOKUP($A192,Infrastructure!$A$13:$E$74,2,0)&amp;""</f>
        <v>Are your primary and secondary data centers geographically diverse?</v>
      </c>
      <c r="C192" s="198" t="str">
        <f>VLOOKUP($A192,Infrastructure!$A$13:$E$74,3,0)&amp;""</f>
        <v>N/A</v>
      </c>
      <c r="D192" s="70" t="str">
        <f>IF(LEFT(VLOOKUP($A192,Infrastructure!$A$13:$E$74,5,0),21)='Auto Responses'!$A$32,'Auto Responses'!$A$33,VLOOKUP($A192,Infrastructure!$A$13:$E$74,4,0))&amp;""</f>
        <v/>
      </c>
      <c r="E192" s="204" t="str">
        <f>VLOOKUP($A192,Infrastructure!$A$13:$E$74,5,0)&amp;""</f>
        <v/>
      </c>
      <c r="F192" s="210"/>
      <c r="G192" s="196" t="str">
        <f>VLOOKUP($A192,Questions!$A$2:$X$333,21,0)&amp;""</f>
        <v>Yes</v>
      </c>
      <c r="H192" s="197"/>
      <c r="I192" s="198" t="str">
        <f>VLOOKUP($A192,Questions!$A$2:$X$333,23,0)&amp;""</f>
        <v>Standard Importance</v>
      </c>
      <c r="J192" s="197"/>
      <c r="K192" s="199" t="b">
        <f>FALSE()</f>
        <v>0</v>
      </c>
      <c r="L192" s="3"/>
    </row>
    <row r="193" spans="1:12" s="189" customFormat="1" ht="15" customHeight="1" x14ac:dyDescent="0.15">
      <c r="A193" s="36" t="str">
        <f>Infrastructure!$A$42</f>
        <v>DCTR-08</v>
      </c>
      <c r="B193" s="37" t="str">
        <f>VLOOKUP($A193,Infrastructure!$A$13:$E$74,2,0)&amp;""</f>
        <v>Is the service hosted in a high-availability environment?</v>
      </c>
      <c r="C193" s="198" t="str">
        <f>VLOOKUP($A193,Infrastructure!$A$13:$E$74,3,0)&amp;""</f>
        <v>N/A</v>
      </c>
      <c r="D193" s="70" t="str">
        <f>IF(LEFT(VLOOKUP($A193,Infrastructure!$A$13:$E$74,5,0),21)='Auto Responses'!$A$32,'Auto Responses'!$A$33,VLOOKUP($A193,Infrastructure!$A$13:$E$74,4,0))&amp;""</f>
        <v/>
      </c>
      <c r="E193" s="204" t="str">
        <f>VLOOKUP($A193,Infrastructure!$A$13:$E$74,5,0)&amp;""</f>
        <v/>
      </c>
      <c r="F193" s="210"/>
      <c r="G193" s="196" t="str">
        <f>VLOOKUP($A193,Questions!$A$2:$X$333,21,0)&amp;""</f>
        <v>Yes</v>
      </c>
      <c r="H193" s="197"/>
      <c r="I193" s="198" t="str">
        <f>VLOOKUP($A193,Questions!$A$2:$X$333,23,0)&amp;""</f>
        <v>Standard Importance</v>
      </c>
      <c r="J193" s="197"/>
      <c r="K193" s="199" t="b">
        <f>FALSE()</f>
        <v>0</v>
      </c>
      <c r="L193" s="3"/>
    </row>
    <row r="194" spans="1:12" s="189" customFormat="1" ht="27" customHeight="1" x14ac:dyDescent="0.15">
      <c r="A194" s="36" t="str">
        <f>Infrastructure!$A$43</f>
        <v>DCTR-09</v>
      </c>
      <c r="B194" s="37" t="str">
        <f>VLOOKUP($A194,Infrastructure!$A$13:$E$74,2,0)&amp;""</f>
        <v>Is redundant power available for all data centers where institutional data will reside?</v>
      </c>
      <c r="C194" s="198" t="str">
        <f>VLOOKUP($A194,Infrastructure!$A$13:$E$74,3,0)&amp;""</f>
        <v>N/A</v>
      </c>
      <c r="D194" s="70" t="str">
        <f>IF(LEFT(VLOOKUP($A194,Infrastructure!$A$13:$E$74,5,0),21)='Auto Responses'!$A$32,'Auto Responses'!$A$33,VLOOKUP($A194,Infrastructure!$A$13:$E$74,4,0))&amp;""</f>
        <v/>
      </c>
      <c r="E194" s="204" t="str">
        <f>VLOOKUP($A194,Infrastructure!$A$13:$E$74,5,0)&amp;""</f>
        <v/>
      </c>
      <c r="F194" s="210"/>
      <c r="G194" s="196" t="str">
        <f>VLOOKUP($A194,Questions!$A$2:$X$333,21,0)&amp;""</f>
        <v>Yes</v>
      </c>
      <c r="H194" s="197"/>
      <c r="I194" s="198" t="str">
        <f>VLOOKUP($A194,Questions!$A$2:$X$333,23,0)&amp;""</f>
        <v>Standard Importance</v>
      </c>
      <c r="J194" s="197"/>
      <c r="K194" s="199" t="b">
        <f>FALSE()</f>
        <v>0</v>
      </c>
      <c r="L194" s="3"/>
    </row>
    <row r="195" spans="1:12" s="189" customFormat="1" ht="15" customHeight="1" x14ac:dyDescent="0.15">
      <c r="A195" s="36" t="str">
        <f>Infrastructure!$A$44</f>
        <v>DCTR-10</v>
      </c>
      <c r="B195" s="37" t="str">
        <f>VLOOKUP($A195,Infrastructure!$A$13:$E$74,2,0)&amp;""</f>
        <v>Are redundant power strategies tested?*</v>
      </c>
      <c r="C195" s="198" t="str">
        <f>VLOOKUP($A195,Infrastructure!$A$13:$E$74,3,0)&amp;""</f>
        <v>N/A</v>
      </c>
      <c r="D195" s="70" t="str">
        <f>IF(LEFT(VLOOKUP($A195,Infrastructure!$A$13:$E$74,5,0),21)='Auto Responses'!$A$32,'Auto Responses'!$A$33,VLOOKUP($A195,Infrastructure!$A$13:$E$74,4,0))&amp;""</f>
        <v/>
      </c>
      <c r="E195" s="204" t="str">
        <f>VLOOKUP($A195,Infrastructure!$A$13:$E$74,5,0)&amp;""</f>
        <v/>
      </c>
      <c r="F195" s="210"/>
      <c r="G195" s="196" t="str">
        <f>VLOOKUP($A195,Questions!$A$2:$X$333,21,0)&amp;""</f>
        <v>Yes</v>
      </c>
      <c r="H195" s="197"/>
      <c r="I195" s="198" t="str">
        <f>VLOOKUP($A195,Questions!$A$2:$X$333,23,0)&amp;""</f>
        <v>Critical Importance</v>
      </c>
      <c r="J195" s="197"/>
      <c r="K195" s="199" t="b">
        <f>FALSE()</f>
        <v>0</v>
      </c>
      <c r="L195" s="3"/>
    </row>
    <row r="196" spans="1:12" s="189" customFormat="1" ht="27" customHeight="1" x14ac:dyDescent="0.15">
      <c r="A196" s="36" t="str">
        <f>Infrastructure!$A$45</f>
        <v>DCTR-11</v>
      </c>
      <c r="B196" s="37" t="str">
        <f>VLOOKUP($A196,Infrastructure!$A$13:$E$74,2,0)&amp;""</f>
        <v>Does the center where the data will reside have cooling and fire-suppression systems that are active and regularly tested?</v>
      </c>
      <c r="C196" s="198" t="str">
        <f>VLOOKUP($A196,Infrastructure!$A$13:$E$74,3,0)&amp;""</f>
        <v>N/A</v>
      </c>
      <c r="D196" s="70" t="str">
        <f>IF(LEFT(VLOOKUP($A196,Infrastructure!$A$13:$E$74,5,0),21)='Auto Responses'!$A$32,'Auto Responses'!$A$33,VLOOKUP($A196,Infrastructure!$A$13:$E$74,4,0))&amp;""</f>
        <v/>
      </c>
      <c r="E196" s="204" t="str">
        <f>VLOOKUP($A196,Infrastructure!$A$13:$E$74,5,0)&amp;""</f>
        <v/>
      </c>
      <c r="F196" s="210"/>
      <c r="G196" s="196" t="str">
        <f>VLOOKUP($A196,Questions!$A$2:$X$333,21,0)&amp;""</f>
        <v>Yes</v>
      </c>
      <c r="H196" s="197"/>
      <c r="I196" s="198" t="str">
        <f>VLOOKUP($A196,Questions!$A$2:$X$333,23,0)&amp;""</f>
        <v>Standard Importance</v>
      </c>
      <c r="J196" s="197"/>
      <c r="K196" s="199" t="b">
        <f>FALSE()</f>
        <v>0</v>
      </c>
      <c r="L196" s="3"/>
    </row>
    <row r="197" spans="1:12" s="189" customFormat="1" ht="15" customHeight="1" x14ac:dyDescent="0.15">
      <c r="A197" s="36" t="str">
        <f>Infrastructure!$A$46</f>
        <v>DCTR-12</v>
      </c>
      <c r="B197" s="37" t="str">
        <f>VLOOKUP($A197,Infrastructure!$A$13:$E$74,2,0)&amp;""</f>
        <v>Do you have Internet Service Provider (ISP) redundancy?</v>
      </c>
      <c r="C197" s="198" t="str">
        <f>VLOOKUP($A197,Infrastructure!$A$13:$E$74,3,0)&amp;""</f>
        <v>N/A</v>
      </c>
      <c r="D197" s="70" t="str">
        <f>IF(LEFT(VLOOKUP($A197,Infrastructure!$A$13:$E$74,5,0),21)='Auto Responses'!$A$32,'Auto Responses'!$A$33,VLOOKUP($A197,Infrastructure!$A$13:$E$74,4,0))&amp;""</f>
        <v/>
      </c>
      <c r="E197" s="204" t="str">
        <f>VLOOKUP($A197,Infrastructure!$A$13:$E$74,5,0)&amp;""</f>
        <v>State the ISP provider(s) in addition to the number of ISPs that provide connectivity.</v>
      </c>
      <c r="F197" s="210"/>
      <c r="G197" s="196" t="str">
        <f>VLOOKUP($A197,Questions!$A$2:$X$333,21,0)&amp;""</f>
        <v>Yes</v>
      </c>
      <c r="H197" s="197"/>
      <c r="I197" s="198" t="str">
        <f>VLOOKUP($A197,Questions!$A$2:$X$333,23,0)&amp;""</f>
        <v>Standard Importance</v>
      </c>
      <c r="J197" s="197"/>
      <c r="K197" s="199" t="b">
        <f>FALSE()</f>
        <v>0</v>
      </c>
      <c r="L197" s="3"/>
    </row>
    <row r="198" spans="1:12" s="189" customFormat="1" ht="27" customHeight="1" x14ac:dyDescent="0.15">
      <c r="A198" s="36" t="str">
        <f>Infrastructure!$A$47</f>
        <v>DCTR-13</v>
      </c>
      <c r="B198" s="37" t="str">
        <f>VLOOKUP($A198,Infrastructure!$A$13:$E$74,2,0)&amp;""</f>
        <v>Does every data center where the institution's data will reside have multiple telephone company or network provider entrances to the facility?</v>
      </c>
      <c r="C198" s="198" t="str">
        <f>VLOOKUP($A198,Infrastructure!$A$13:$E$74,3,0)&amp;""</f>
        <v>N/A</v>
      </c>
      <c r="D198" s="70" t="str">
        <f>IF(LEFT(VLOOKUP($A198,Infrastructure!$A$13:$E$74,5,0),21)='Auto Responses'!$A$32,'Auto Responses'!$A$33,VLOOKUP($A198,Infrastructure!$A$13:$E$74,4,0))&amp;""</f>
        <v/>
      </c>
      <c r="E198" s="204" t="str">
        <f>VLOOKUP($A198,Infrastructure!$A$13:$E$74,5,0)&amp;""</f>
        <v/>
      </c>
      <c r="F198" s="210"/>
      <c r="G198" s="196" t="str">
        <f>VLOOKUP($A198,Questions!$A$2:$X$333,21,0)&amp;""</f>
        <v>Yes</v>
      </c>
      <c r="H198" s="197"/>
      <c r="I198" s="198" t="str">
        <f>VLOOKUP($A198,Questions!$A$2:$X$333,23,0)&amp;""</f>
        <v>Standard Importance</v>
      </c>
      <c r="J198" s="197"/>
      <c r="K198" s="199" t="b">
        <f>FALSE()</f>
        <v>0</v>
      </c>
      <c r="L198" s="3"/>
    </row>
    <row r="199" spans="1:12" s="189" customFormat="1" ht="27" customHeight="1" x14ac:dyDescent="0.15">
      <c r="A199" s="36" t="str">
        <f>Infrastructure!$A$48</f>
        <v>DCTR-14</v>
      </c>
      <c r="B199" s="37" t="str">
        <f>VLOOKUP($A199,Infrastructure!$A$13:$E$74,2,0)&amp;""</f>
        <v>Do you require multifactor authentication for all administrative accounts in your environment?</v>
      </c>
      <c r="C199" s="198" t="str">
        <f>VLOOKUP($A199,Infrastructure!$A$13:$E$74,3,0)&amp;""</f>
        <v>N/A</v>
      </c>
      <c r="D199" s="70" t="str">
        <f>IF(LEFT(VLOOKUP($A199,Infrastructure!$A$13:$E$74,5,0),21)='Auto Responses'!$A$32,'Auto Responses'!$A$33,VLOOKUP($A199,Infrastructure!$A$13:$E$74,4,0))&amp;""</f>
        <v/>
      </c>
      <c r="E199" s="204" t="str">
        <f>VLOOKUP($A199,Infrastructure!$A$13:$E$74,5,0)&amp;""</f>
        <v/>
      </c>
      <c r="F199" s="210"/>
      <c r="G199" s="196" t="str">
        <f>VLOOKUP($A199,Questions!$A$2:$X$333,21,0)&amp;""</f>
        <v>Yes</v>
      </c>
      <c r="H199" s="197"/>
      <c r="I199" s="198" t="str">
        <f>VLOOKUP($A199,Questions!$A$2:$X$333,23,0)&amp;""</f>
        <v>Standard Importance</v>
      </c>
      <c r="J199" s="197"/>
      <c r="K199" s="199" t="b">
        <f>FALSE()</f>
        <v>0</v>
      </c>
      <c r="L199" s="3"/>
    </row>
    <row r="200" spans="1:12" s="189" customFormat="1" ht="27" customHeight="1" x14ac:dyDescent="0.15">
      <c r="A200" s="36" t="str">
        <f>Infrastructure!$A$49</f>
        <v>DCTR-15</v>
      </c>
      <c r="B200" s="37" t="str">
        <f>VLOOKUP($A200,Infrastructure!$A$13:$E$74,2,0)&amp;""</f>
        <v>Are you using your cloud provider's available hardening tools or pre-hardened images?</v>
      </c>
      <c r="C200" s="198" t="str">
        <f>VLOOKUP($A200,Infrastructure!$A$13:$E$74,3,0)&amp;""</f>
        <v>N/A</v>
      </c>
      <c r="D200" s="70" t="str">
        <f>IF(LEFT(VLOOKUP($A200,Infrastructure!$A$13:$E$74,5,0),21)='Auto Responses'!$A$32,'Auto Responses'!$A$33,VLOOKUP($A200,Infrastructure!$A$13:$E$74,4,0))&amp;""</f>
        <v/>
      </c>
      <c r="E200" s="204" t="str">
        <f>VLOOKUP($A200,Infrastructure!$A$13:$E$74,5,0)&amp;""</f>
        <v/>
      </c>
      <c r="F200" s="210"/>
      <c r="G200" s="196" t="str">
        <f>VLOOKUP($A200,Questions!$A$2:$X$333,21,0)&amp;""</f>
        <v>Yes</v>
      </c>
      <c r="H200" s="197"/>
      <c r="I200" s="198" t="str">
        <f>VLOOKUP($A200,Questions!$A$2:$X$333,23,0)&amp;""</f>
        <v>Standard Importance</v>
      </c>
      <c r="J200" s="197"/>
      <c r="K200" s="199" t="b">
        <f>FALSE()</f>
        <v>0</v>
      </c>
      <c r="L200" s="3"/>
    </row>
    <row r="201" spans="1:12" s="189" customFormat="1" ht="15" customHeight="1" x14ac:dyDescent="0.15">
      <c r="A201" s="36" t="str">
        <f>Infrastructure!$A$50</f>
        <v>DCTR-16</v>
      </c>
      <c r="B201" s="37" t="str">
        <f>VLOOKUP($A201,Infrastructure!$A$13:$E$74,2,0)&amp;""</f>
        <v>Does your cloud solution provider have access to your encryption keys?</v>
      </c>
      <c r="C201" s="198" t="str">
        <f>VLOOKUP($A201,Infrastructure!$A$13:$E$74,3,0)&amp;""</f>
        <v>N/A</v>
      </c>
      <c r="D201" s="70" t="str">
        <f>IF(LEFT(VLOOKUP($A201,Infrastructure!$A$13:$E$74,5,0),21)='Auto Responses'!$A$32,'Auto Responses'!$A$33,VLOOKUP($A201,Infrastructure!$A$13:$E$74,4,0))&amp;""</f>
        <v/>
      </c>
      <c r="E201" s="204" t="str">
        <f>VLOOKUP($A201,Infrastructure!$A$13:$E$74,5,0)&amp;""</f>
        <v>Describe your key management practices.</v>
      </c>
      <c r="F201" s="210"/>
      <c r="G201" s="196" t="str">
        <f>VLOOKUP($A201,Questions!$A$2:$X$333,21,0)&amp;""</f>
        <v>No</v>
      </c>
      <c r="H201" s="197"/>
      <c r="I201" s="198" t="str">
        <f>VLOOKUP($A201,Questions!$A$2:$X$333,23,0)&amp;""</f>
        <v>Standard Importance</v>
      </c>
      <c r="J201" s="197"/>
      <c r="K201" s="199" t="b">
        <f>FALSE()</f>
        <v>0</v>
      </c>
      <c r="L201" s="3"/>
    </row>
    <row r="202" spans="1:12" s="3" customFormat="1" ht="17.25" customHeight="1" x14ac:dyDescent="0.15">
      <c r="A202" s="32" t="str">
        <f>VLOOKUP(LEFT($A203,4),'Auto Responses'!$N$4:$O$38,2,0)&amp;""</f>
        <v xml:space="preserve"> Firewalls, IDS, IPS, and Networking</v>
      </c>
      <c r="B202" s="41"/>
      <c r="C202" s="42"/>
      <c r="D202" s="42"/>
      <c r="E202" s="203"/>
      <c r="F202" s="191" t="s">
        <v>468</v>
      </c>
      <c r="G202" s="200" t="s">
        <v>463</v>
      </c>
      <c r="H202" s="200" t="s">
        <v>464</v>
      </c>
      <c r="I202" s="200" t="s">
        <v>465</v>
      </c>
      <c r="J202" s="200" t="s">
        <v>466</v>
      </c>
      <c r="K202" s="200" t="s">
        <v>467</v>
      </c>
    </row>
    <row r="203" spans="1:12" s="189" customFormat="1" ht="15" customHeight="1" x14ac:dyDescent="0.15">
      <c r="A203" s="36" t="str">
        <f>Infrastructure!$A$52</f>
        <v>FIDP-01</v>
      </c>
      <c r="B203" s="37" t="str">
        <f>VLOOKUP($A203,Infrastructure!$A$13:$E$74,2,0)&amp;""</f>
        <v>Are you utilizing a stateful packet inspection (SPI) firewall?*</v>
      </c>
      <c r="C203" s="198" t="str">
        <f>VLOOKUP($A203,Infrastructure!$A$13:$E$74,3,0)&amp;""</f>
        <v>N/A</v>
      </c>
      <c r="D203" s="70" t="str">
        <f>IF(LEFT(VLOOKUP($A203,Infrastructure!$A$13:$E$74,5,0),21)='Auto Responses'!$A$32,'Auto Responses'!$A$33,VLOOKUP($A203,Infrastructure!$A$13:$E$74,4,0))&amp;""</f>
        <v>This question does not apply.</v>
      </c>
      <c r="E203" s="204" t="str">
        <f>VLOOKUP($A203,Infrastructure!$A$13:$E$74,5,0)&amp;""</f>
        <v xml:space="preserve">Based on the response to REQU-01 on the "START HERE" tab, this question does not apply to this product or service. </v>
      </c>
      <c r="F203" s="210"/>
      <c r="G203" s="196" t="str">
        <f>VLOOKUP($A203,Questions!$A$2:$X$333,21,0)&amp;""</f>
        <v>Yes</v>
      </c>
      <c r="H203" s="197"/>
      <c r="I203" s="198" t="str">
        <f>VLOOKUP($A203,Questions!$A$2:$X$333,23,0)&amp;""</f>
        <v>Critical Importance</v>
      </c>
      <c r="J203" s="197"/>
      <c r="K203" s="199" t="b">
        <f>FALSE()</f>
        <v>0</v>
      </c>
      <c r="L203" s="3"/>
    </row>
    <row r="204" spans="1:12" s="189" customFormat="1" ht="15" customHeight="1" x14ac:dyDescent="0.15">
      <c r="A204" s="36" t="str">
        <f>Infrastructure!$A$53</f>
        <v>FIDP-02</v>
      </c>
      <c r="B204" s="37" t="str">
        <f>VLOOKUP($A204,Infrastructure!$A$13:$E$74,2,0)&amp;""</f>
        <v>Do you have a documented policy for firewall change requests?*</v>
      </c>
      <c r="C204" s="198" t="str">
        <f>VLOOKUP($A204,Infrastructure!$A$13:$E$74,3,0)&amp;""</f>
        <v>N/A</v>
      </c>
      <c r="D204" s="70" t="str">
        <f>IF(LEFT(VLOOKUP($A204,Infrastructure!$A$13:$E$74,5,0),21)='Auto Responses'!$A$32,'Auto Responses'!$A$33,VLOOKUP($A204,Infrastructure!$A$13:$E$74,4,0))&amp;""</f>
        <v>This question does not apply.</v>
      </c>
      <c r="E204" s="204" t="str">
        <f>VLOOKUP($A204,Infrastructure!$A$13:$E$74,5,0)&amp;""</f>
        <v xml:space="preserve">Based on the response to REQU-01 on the "START HERE" tab, this question does not apply to this product or service. </v>
      </c>
      <c r="F204" s="210"/>
      <c r="G204" s="196" t="str">
        <f>VLOOKUP($A204,Questions!$A$2:$X$333,21,0)&amp;""</f>
        <v>Yes</v>
      </c>
      <c r="H204" s="197"/>
      <c r="I204" s="198" t="str">
        <f>VLOOKUP($A204,Questions!$A$2:$X$333,23,0)&amp;""</f>
        <v>Critical Importance</v>
      </c>
      <c r="J204" s="197"/>
      <c r="K204" s="199" t="b">
        <f>FALSE()</f>
        <v>0</v>
      </c>
      <c r="L204" s="3"/>
    </row>
    <row r="205" spans="1:12" s="189" customFormat="1" ht="15" customHeight="1" x14ac:dyDescent="0.15">
      <c r="A205" s="36" t="str">
        <f>Infrastructure!$A$54</f>
        <v>FIDP-03</v>
      </c>
      <c r="B205" s="37" t="str">
        <f>VLOOKUP($A205,Infrastructure!$A$13:$E$74,2,0)&amp;""</f>
        <v>Have you implemented an intrusion detection system (network-based)?*</v>
      </c>
      <c r="C205" s="198" t="str">
        <f>VLOOKUP($A205,Infrastructure!$A$13:$E$74,3,0)&amp;""</f>
        <v>N/A</v>
      </c>
      <c r="D205" s="70" t="str">
        <f>IF(LEFT(VLOOKUP($A205,Infrastructure!$A$13:$E$74,5,0),21)='Auto Responses'!$A$32,'Auto Responses'!$A$33,VLOOKUP($A205,Infrastructure!$A$13:$E$74,4,0))&amp;""</f>
        <v>This question does not apply.</v>
      </c>
      <c r="E205" s="204" t="str">
        <f>VLOOKUP($A205,Infrastructure!$A$13:$E$74,5,0)&amp;""</f>
        <v xml:space="preserve">Based on the response to REQU-01 on the "START HERE" tab, this question does not apply to this product or service. </v>
      </c>
      <c r="F205" s="210"/>
      <c r="G205" s="196" t="str">
        <f>VLOOKUP($A205,Questions!$A$2:$X$333,21,0)&amp;""</f>
        <v>Yes</v>
      </c>
      <c r="H205" s="197"/>
      <c r="I205" s="198" t="str">
        <f>VLOOKUP($A205,Questions!$A$2:$X$333,23,0)&amp;""</f>
        <v>Critical Importance</v>
      </c>
      <c r="J205" s="197"/>
      <c r="K205" s="199" t="b">
        <f>FALSE()</f>
        <v>0</v>
      </c>
      <c r="L205" s="3"/>
    </row>
    <row r="206" spans="1:12" s="189" customFormat="1" ht="15" customHeight="1" x14ac:dyDescent="0.15">
      <c r="A206" s="36" t="str">
        <f>Infrastructure!$A$55</f>
        <v>FIDP-04</v>
      </c>
      <c r="B206" s="37" t="str">
        <f>VLOOKUP($A206,Infrastructure!$A$13:$E$74,2,0)&amp;""</f>
        <v>Do you employ host-based intrusion detection?*</v>
      </c>
      <c r="C206" s="198" t="str">
        <f>VLOOKUP($A206,Infrastructure!$A$13:$E$74,3,0)&amp;""</f>
        <v>N/A</v>
      </c>
      <c r="D206" s="70" t="str">
        <f>IF(LEFT(VLOOKUP($A206,Infrastructure!$A$13:$E$74,5,0),21)='Auto Responses'!$A$32,'Auto Responses'!$A$33,VLOOKUP($A206,Infrastructure!$A$13:$E$74,4,0))&amp;""</f>
        <v>This question does not apply.</v>
      </c>
      <c r="E206" s="204" t="str">
        <f>VLOOKUP($A206,Infrastructure!$A$13:$E$74,5,0)&amp;""</f>
        <v xml:space="preserve">Based on the response to REQU-01 on the "START HERE" tab, this question does not apply to this product or service. </v>
      </c>
      <c r="F206" s="210"/>
      <c r="G206" s="196" t="str">
        <f>VLOOKUP($A206,Questions!$A$2:$X$333,21,0)&amp;""</f>
        <v>Yes</v>
      </c>
      <c r="H206" s="197"/>
      <c r="I206" s="198" t="str">
        <f>VLOOKUP($A206,Questions!$A$2:$X$333,23,0)&amp;""</f>
        <v>Critical Importance</v>
      </c>
      <c r="J206" s="197"/>
      <c r="K206" s="199" t="b">
        <f>FALSE()</f>
        <v>0</v>
      </c>
      <c r="L206" s="3"/>
    </row>
    <row r="207" spans="1:12" s="189" customFormat="1" ht="27" customHeight="1" x14ac:dyDescent="0.15">
      <c r="A207" s="36" t="str">
        <f>Infrastructure!$A$56</f>
        <v>FIDP-05</v>
      </c>
      <c r="B207" s="37" t="str">
        <f>VLOOKUP($A207,Infrastructure!$A$13:$E$74,2,0)&amp;""</f>
        <v>Are audit logs available for all changes to the network, firewall, IDS, and IPS systems?*</v>
      </c>
      <c r="C207" s="198" t="str">
        <f>VLOOKUP($A207,Infrastructure!$A$13:$E$74,3,0)&amp;""</f>
        <v>N/A</v>
      </c>
      <c r="D207" s="70" t="str">
        <f>IF(LEFT(VLOOKUP($A207,Infrastructure!$A$13:$E$74,5,0),21)='Auto Responses'!$A$32,'Auto Responses'!$A$33,VLOOKUP($A207,Infrastructure!$A$13:$E$74,4,0))&amp;""</f>
        <v>This question does not apply.</v>
      </c>
      <c r="E207" s="204" t="str">
        <f>VLOOKUP($A207,Infrastructure!$A$13:$E$74,5,0)&amp;""</f>
        <v xml:space="preserve">Based on the response to REQU-01 on the "START HERE" tab, this question does not apply to this product or service. </v>
      </c>
      <c r="F207" s="210"/>
      <c r="G207" s="196" t="str">
        <f>VLOOKUP($A207,Questions!$A$2:$X$333,21,0)&amp;""</f>
        <v>Yes</v>
      </c>
      <c r="H207" s="197"/>
      <c r="I207" s="198" t="str">
        <f>VLOOKUP($A207,Questions!$A$2:$X$333,23,0)&amp;""</f>
        <v>Critical Importance</v>
      </c>
      <c r="J207" s="197"/>
      <c r="K207" s="199" t="b">
        <f>FALSE()</f>
        <v>0</v>
      </c>
      <c r="L207" s="3"/>
    </row>
    <row r="208" spans="1:12" s="189" customFormat="1" ht="27" customHeight="1" x14ac:dyDescent="0.15">
      <c r="A208" s="36" t="str">
        <f>Infrastructure!$A$57</f>
        <v>FIDP-06</v>
      </c>
      <c r="B208" s="37" t="str">
        <f>VLOOKUP($A208,Infrastructure!$A$13:$E$74,2,0)&amp;""</f>
        <v>Is authority for firewall change approval documented? Please list approver names or titles in Additional Info.</v>
      </c>
      <c r="C208" s="198" t="str">
        <f>VLOOKUP($A208,Infrastructure!$A$13:$E$74,3,0)&amp;""</f>
        <v>N/A</v>
      </c>
      <c r="D208" s="70" t="str">
        <f>IF(LEFT(VLOOKUP($A208,Infrastructure!$A$13:$E$74,5,0),21)='Auto Responses'!$A$32,'Auto Responses'!$A$33,VLOOKUP($A208,Infrastructure!$A$13:$E$74,4,0))&amp;""</f>
        <v>This question does not apply.</v>
      </c>
      <c r="E208" s="204" t="str">
        <f>VLOOKUP($A208,Infrastructure!$A$13:$E$74,5,0)&amp;""</f>
        <v xml:space="preserve">Based on the response to REQU-01 on the "START HERE" tab, this question does not apply to this product or service. </v>
      </c>
      <c r="F208" s="210"/>
      <c r="G208" s="196" t="str">
        <f>VLOOKUP($A208,Questions!$A$2:$X$333,21,0)&amp;""</f>
        <v>Yes</v>
      </c>
      <c r="H208" s="197"/>
      <c r="I208" s="198" t="str">
        <f>VLOOKUP($A208,Questions!$A$2:$X$333,23,0)&amp;""</f>
        <v>Standard Importance</v>
      </c>
      <c r="J208" s="197"/>
      <c r="K208" s="199" t="b">
        <f>FALSE()</f>
        <v>0</v>
      </c>
      <c r="L208" s="3"/>
    </row>
    <row r="209" spans="1:12" s="189" customFormat="1" ht="15" customHeight="1" x14ac:dyDescent="0.15">
      <c r="A209" s="36" t="str">
        <f>Infrastructure!$A$58</f>
        <v>FIDP-07</v>
      </c>
      <c r="B209" s="37" t="str">
        <f>VLOOKUP($A209,Infrastructure!$A$13:$E$74,2,0)&amp;""</f>
        <v>Have you implemented an intrusion prevention system (network-based)?</v>
      </c>
      <c r="C209" s="198" t="str">
        <f>VLOOKUP($A209,Infrastructure!$A$13:$E$74,3,0)&amp;""</f>
        <v>N/A</v>
      </c>
      <c r="D209" s="70" t="str">
        <f>IF(LEFT(VLOOKUP($A209,Infrastructure!$A$13:$E$74,5,0),21)='Auto Responses'!$A$32,'Auto Responses'!$A$33,VLOOKUP($A209,Infrastructure!$A$13:$E$74,4,0))&amp;""</f>
        <v>This question does not apply.</v>
      </c>
      <c r="E209" s="204" t="str">
        <f>VLOOKUP($A209,Infrastructure!$A$13:$E$74,5,0)&amp;""</f>
        <v xml:space="preserve">Based on the response to REQU-01 on the "START HERE" tab, this question does not apply to this product or service. </v>
      </c>
      <c r="F209" s="210"/>
      <c r="G209" s="196" t="str">
        <f>VLOOKUP($A209,Questions!$A$2:$X$333,21,0)&amp;""</f>
        <v>Yes</v>
      </c>
      <c r="H209" s="197"/>
      <c r="I209" s="198" t="str">
        <f>VLOOKUP($A209,Questions!$A$2:$X$333,23,0)&amp;""</f>
        <v>Standard Importance</v>
      </c>
      <c r="J209" s="197"/>
      <c r="K209" s="199" t="b">
        <f>FALSE()</f>
        <v>0</v>
      </c>
      <c r="L209" s="3"/>
    </row>
    <row r="210" spans="1:12" s="189" customFormat="1" ht="15" customHeight="1" x14ac:dyDescent="0.15">
      <c r="A210" s="36" t="str">
        <f>Infrastructure!$A$59</f>
        <v>FIDP-08</v>
      </c>
      <c r="B210" s="37" t="str">
        <f>VLOOKUP($A210,Infrastructure!$A$13:$E$74,2,0)&amp;""</f>
        <v>Do you employ host-based intrusion prevention?</v>
      </c>
      <c r="C210" s="198" t="str">
        <f>VLOOKUP($A210,Infrastructure!$A$13:$E$74,3,0)&amp;""</f>
        <v>N/A</v>
      </c>
      <c r="D210" s="70" t="str">
        <f>IF(LEFT(VLOOKUP($A210,Infrastructure!$A$13:$E$74,5,0),21)='Auto Responses'!$A$32,'Auto Responses'!$A$33,VLOOKUP($A210,Infrastructure!$A$13:$E$74,4,0))&amp;""</f>
        <v>This question does not apply.</v>
      </c>
      <c r="E210" s="204" t="str">
        <f>VLOOKUP($A210,Infrastructure!$A$13:$E$74,5,0)&amp;""</f>
        <v xml:space="preserve">Based on the response to REQU-01 on the "START HERE" tab, this question does not apply to this product or service. </v>
      </c>
      <c r="F210" s="210"/>
      <c r="G210" s="196" t="str">
        <f>VLOOKUP($A210,Questions!$A$2:$X$333,21,0)&amp;""</f>
        <v>Yes</v>
      </c>
      <c r="H210" s="197"/>
      <c r="I210" s="198" t="str">
        <f>VLOOKUP($A210,Questions!$A$2:$X$333,23,0)&amp;""</f>
        <v>Standard Importance</v>
      </c>
      <c r="J210" s="197"/>
      <c r="K210" s="199" t="b">
        <f>FALSE()</f>
        <v>0</v>
      </c>
      <c r="L210" s="3"/>
    </row>
    <row r="211" spans="1:12" s="189" customFormat="1" ht="27" customHeight="1" x14ac:dyDescent="0.15">
      <c r="A211" s="36" t="str">
        <f>Infrastructure!$A$60</f>
        <v>FIDP-09</v>
      </c>
      <c r="B211" s="37" t="str">
        <f>VLOOKUP($A211,Infrastructure!$A$13:$E$74,2,0)&amp;""</f>
        <v>Are you employing any next-generation persistent threat (NGPT) monitoring?</v>
      </c>
      <c r="C211" s="198" t="str">
        <f>VLOOKUP($A211,Infrastructure!$A$13:$E$74,3,0)&amp;""</f>
        <v>N/A</v>
      </c>
      <c r="D211" s="70" t="str">
        <f>IF(LEFT(VLOOKUP($A211,Infrastructure!$A$13:$E$74,5,0),21)='Auto Responses'!$A$32,'Auto Responses'!$A$33,VLOOKUP($A211,Infrastructure!$A$13:$E$74,4,0))&amp;""</f>
        <v>This question does not apply.</v>
      </c>
      <c r="E211" s="204" t="str">
        <f>VLOOKUP($A211,Infrastructure!$A$13:$E$74,5,0)&amp;""</f>
        <v xml:space="preserve">Based on the response to REQU-01 on the "START HERE" tab, this question does not apply to this product or service. </v>
      </c>
      <c r="F211" s="210"/>
      <c r="G211" s="196" t="str">
        <f>VLOOKUP($A211,Questions!$A$2:$X$333,21,0)&amp;""</f>
        <v>Yes</v>
      </c>
      <c r="H211" s="197"/>
      <c r="I211" s="198" t="str">
        <f>VLOOKUP($A211,Questions!$A$2:$X$333,23,0)&amp;""</f>
        <v>Standard Importance</v>
      </c>
      <c r="J211" s="197"/>
      <c r="K211" s="199" t="b">
        <f>FALSE()</f>
        <v>0</v>
      </c>
      <c r="L211" s="3"/>
    </row>
    <row r="212" spans="1:12" s="189" customFormat="1" ht="90" customHeight="1" x14ac:dyDescent="0.15">
      <c r="A212" s="36" t="str">
        <f>Infrastructure!$A$61</f>
        <v>FIDP-10</v>
      </c>
      <c r="B212" s="37" t="str">
        <f>VLOOKUP($A212,Infrastructure!$A$13:$E$74,2,0)&amp;""</f>
        <v>Is intrusion monitoring performed internally or by a third-party service?</v>
      </c>
      <c r="C212" s="198" t="str">
        <f>VLOOKUP($A212,Infrastructure!$A$13:$E$74,3,0)&amp;""</f>
        <v>N/A</v>
      </c>
      <c r="D212" s="70" t="str">
        <f>IF(LEFT(VLOOKUP($A212,Infrastructure!$A$13:$E$74,5,0),21)='Auto Responses'!$A$32,'Auto Responses'!$A$33,VLOOKUP($A212,Infrastructure!$A$13:$E$74,4,0))&amp;""</f>
        <v>This question does not apply.</v>
      </c>
      <c r="E212" s="204" t="str">
        <f>VLOOKUP($A212,Infrastructure!$A$13:$E$74,5,0)&amp;""</f>
        <v xml:space="preserve">Based on the response to REQU-01 on the "START HERE" tab, this question does not apply to this product or service. </v>
      </c>
      <c r="F212" s="210"/>
      <c r="G212" s="196" t="str">
        <f>VLOOKUP($A212,Questions!$A$2:$X$333,21,0)&amp;""</f>
        <v>Not scored</v>
      </c>
      <c r="H212" s="197"/>
      <c r="I212" s="198" t="str">
        <f>VLOOKUP($A212,Questions!$A$2:$X$333,23,0)&amp;""</f>
        <v/>
      </c>
      <c r="J212" s="197"/>
      <c r="K212" s="199" t="b">
        <f>FALSE()</f>
        <v>0</v>
      </c>
      <c r="L212" s="3"/>
    </row>
    <row r="213" spans="1:12" s="189" customFormat="1" ht="15" customHeight="1" x14ac:dyDescent="0.15">
      <c r="A213" s="36" t="str">
        <f>Infrastructure!$A$62</f>
        <v>FIDP-11</v>
      </c>
      <c r="B213" s="37" t="str">
        <f>VLOOKUP($A213,Infrastructure!$A$13:$E$74,2,0)&amp;""</f>
        <v>Do you monitor for intrusions on a 24 x 7 x 365 basis?</v>
      </c>
      <c r="C213" s="198" t="str">
        <f>VLOOKUP($A213,Infrastructure!$A$13:$E$74,3,0)&amp;""</f>
        <v>N/A</v>
      </c>
      <c r="D213" s="70" t="str">
        <f>IF(LEFT(VLOOKUP($A213,Infrastructure!$A$13:$E$74,5,0),21)='Auto Responses'!$A$32,'Auto Responses'!$A$33,VLOOKUP($A213,Infrastructure!$A$13:$E$74,4,0))&amp;""</f>
        <v>This question does not apply.</v>
      </c>
      <c r="E213" s="204" t="str">
        <f>VLOOKUP($A213,Infrastructure!$A$13:$E$74,5,0)&amp;""</f>
        <v xml:space="preserve">Based on the response to REQU-01 on the "START HERE" tab, this question does not apply to this product or service. </v>
      </c>
      <c r="F213" s="210"/>
      <c r="G213" s="196" t="str">
        <f>VLOOKUP($A213,Questions!$A$2:$X$333,21,0)&amp;""</f>
        <v>Yes</v>
      </c>
      <c r="H213" s="197"/>
      <c r="I213" s="198" t="str">
        <f>VLOOKUP($A213,Questions!$A$2:$X$333,23,0)&amp;""</f>
        <v>Minor Importance</v>
      </c>
      <c r="J213" s="197"/>
      <c r="K213" s="199" t="b">
        <f>FALSE()</f>
        <v>0</v>
      </c>
      <c r="L213" s="3"/>
    </row>
    <row r="214" spans="1:12" s="3" customFormat="1" ht="17.25" customHeight="1" x14ac:dyDescent="0.15">
      <c r="A214" s="32" t="str">
        <f>VLOOKUP(LEFT($A215,4),'Auto Responses'!$N$4:$O$38,2,0)&amp;""</f>
        <v xml:space="preserve"> Incident Handling</v>
      </c>
      <c r="B214" s="41"/>
      <c r="C214" s="42"/>
      <c r="D214" s="42"/>
      <c r="E214" s="203"/>
      <c r="F214" s="191" t="s">
        <v>468</v>
      </c>
      <c r="G214" s="200" t="s">
        <v>463</v>
      </c>
      <c r="H214" s="200" t="s">
        <v>464</v>
      </c>
      <c r="I214" s="200" t="s">
        <v>465</v>
      </c>
      <c r="J214" s="200" t="s">
        <v>466</v>
      </c>
      <c r="K214" s="200" t="s">
        <v>467</v>
      </c>
    </row>
    <row r="215" spans="1:12" s="189" customFormat="1" ht="15" customHeight="1" x14ac:dyDescent="0.15">
      <c r="A215" s="36" t="str">
        <f>Infrastructure!$A$64</f>
        <v>HFIH-01</v>
      </c>
      <c r="B215" s="37" t="str">
        <f>VLOOKUP($A215,Infrastructure!$A$13:$E$74,2,0)&amp;""</f>
        <v>Do you have a formal incident response plan?</v>
      </c>
      <c r="C215" s="198" t="str">
        <f>VLOOKUP($A215,Infrastructure!$A$13:$E$74,3,0)&amp;""</f>
        <v>N/A</v>
      </c>
      <c r="D215" s="70" t="str">
        <f>IF(LEFT(VLOOKUP($A215,Infrastructure!$A$13:$E$74,5,0),21)='Auto Responses'!$A$32,'Auto Responses'!$A$33,VLOOKUP($A215,Infrastructure!$A$13:$E$74,4,0))&amp;""</f>
        <v>This question does not apply.</v>
      </c>
      <c r="E215" s="204" t="str">
        <f>VLOOKUP($A215,Infrastructure!$A$13:$E$74,5,0)&amp;""</f>
        <v xml:space="preserve">Based on the response to REQU-01 on the "START HERE" tab, this question does not apply to this product or service. </v>
      </c>
      <c r="F215" s="210"/>
      <c r="G215" s="196" t="str">
        <f>VLOOKUP($A215,Questions!$A$2:$X$333,21,0)&amp;""</f>
        <v>Yes</v>
      </c>
      <c r="H215" s="197"/>
      <c r="I215" s="198" t="str">
        <f>VLOOKUP($A215,Questions!$A$2:$X$333,23,0)&amp;""</f>
        <v>Standard Importance</v>
      </c>
      <c r="J215" s="197"/>
      <c r="K215" s="199" t="b">
        <f>FALSE()</f>
        <v>0</v>
      </c>
      <c r="L215" s="3"/>
    </row>
    <row r="216" spans="1:12" s="189" customFormat="1" ht="27" customHeight="1" x14ac:dyDescent="0.15">
      <c r="A216" s="36" t="str">
        <f>Infrastructure!$A$65</f>
        <v>HFIH-02</v>
      </c>
      <c r="B216" s="37" t="str">
        <f>VLOOKUP($A216,Infrastructure!$A$13:$E$74,2,0)&amp;""</f>
        <v>Do you either have an internal incident response team or retain an external team?</v>
      </c>
      <c r="C216" s="198" t="str">
        <f>VLOOKUP($A216,Infrastructure!$A$13:$E$74,3,0)&amp;""</f>
        <v>N/A</v>
      </c>
      <c r="D216" s="70" t="str">
        <f>IF(LEFT(VLOOKUP($A216,Infrastructure!$A$13:$E$74,5,0),21)='Auto Responses'!$A$32,'Auto Responses'!$A$33,VLOOKUP($A216,Infrastructure!$A$13:$E$74,4,0))&amp;""</f>
        <v>This question does not apply.</v>
      </c>
      <c r="E216" s="204" t="str">
        <f>VLOOKUP($A216,Infrastructure!$A$13:$E$74,5,0)&amp;""</f>
        <v xml:space="preserve">Based on the response to REQU-01 on the "START HERE" tab, this question does not apply to this product or service. </v>
      </c>
      <c r="F216" s="210"/>
      <c r="G216" s="196" t="str">
        <f>VLOOKUP($A216,Questions!$A$2:$X$333,21,0)&amp;""</f>
        <v>Yes</v>
      </c>
      <c r="H216" s="197"/>
      <c r="I216" s="198" t="str">
        <f>VLOOKUP($A216,Questions!$A$2:$X$333,23,0)&amp;""</f>
        <v>Minor Importance</v>
      </c>
      <c r="J216" s="197"/>
      <c r="K216" s="199" t="b">
        <f>FALSE()</f>
        <v>0</v>
      </c>
      <c r="L216" s="3"/>
    </row>
    <row r="217" spans="1:12" s="189" customFormat="1" ht="27" customHeight="1" x14ac:dyDescent="0.15">
      <c r="A217" s="36" t="str">
        <f>Infrastructure!$A$66</f>
        <v>HFIH-03</v>
      </c>
      <c r="B217" s="37" t="str">
        <f>VLOOKUP($A217,Infrastructure!$A$13:$E$74,2,0)&amp;""</f>
        <v>Do you have the capability to respond to incidents on a 24 x 7 x 365 basis?</v>
      </c>
      <c r="C217" s="198" t="str">
        <f>VLOOKUP($A217,Infrastructure!$A$13:$E$74,3,0)&amp;""</f>
        <v>N/A</v>
      </c>
      <c r="D217" s="70" t="str">
        <f>IF(LEFT(VLOOKUP($A217,Infrastructure!$A$13:$E$74,5,0),21)='Auto Responses'!$A$32,'Auto Responses'!$A$33,VLOOKUP($A217,Infrastructure!$A$13:$E$74,4,0))&amp;""</f>
        <v>This question does not apply.</v>
      </c>
      <c r="E217" s="204" t="str">
        <f>VLOOKUP($A217,Infrastructure!$A$13:$E$74,5,0)&amp;""</f>
        <v xml:space="preserve">Based on the response to REQU-01 on the "START HERE" tab, this question does not apply to this product or service. </v>
      </c>
      <c r="F217" s="210"/>
      <c r="G217" s="196" t="str">
        <f>VLOOKUP($A217,Questions!$A$2:$X$333,21,0)&amp;""</f>
        <v>Yes</v>
      </c>
      <c r="H217" s="197"/>
      <c r="I217" s="198" t="str">
        <f>VLOOKUP($A217,Questions!$A$2:$X$333,23,0)&amp;""</f>
        <v>Minor Importance</v>
      </c>
      <c r="J217" s="197"/>
      <c r="K217" s="199" t="b">
        <f>FALSE()</f>
        <v>0</v>
      </c>
      <c r="L217" s="3"/>
    </row>
    <row r="218" spans="1:12" s="189" customFormat="1" ht="27" customHeight="1" x14ac:dyDescent="0.15">
      <c r="A218" s="36" t="str">
        <f>Infrastructure!$A$67</f>
        <v>HFIH-04</v>
      </c>
      <c r="B218" s="37" t="str">
        <f>VLOOKUP($A218,Infrastructure!$A$13:$E$74,2,0)&amp;""</f>
        <v>Do you carry cyber-risk insurance to protect against unforeseen service outages, data that is lost or stolen, and security incidents?</v>
      </c>
      <c r="C218" s="198" t="str">
        <f>VLOOKUP($A218,Infrastructure!$A$13:$E$74,3,0)&amp;""</f>
        <v>N/A</v>
      </c>
      <c r="D218" s="70" t="str">
        <f>IF(LEFT(VLOOKUP($A218,Infrastructure!$A$13:$E$74,5,0),21)='Auto Responses'!$A$32,'Auto Responses'!$A$33,VLOOKUP($A218,Infrastructure!$A$13:$E$74,4,0))&amp;""</f>
        <v>This question does not apply.</v>
      </c>
      <c r="E218" s="204" t="str">
        <f>VLOOKUP($A218,Infrastructure!$A$13:$E$74,5,0)&amp;""</f>
        <v xml:space="preserve">Based on the response to REQU-01 on the "START HERE" tab, this question does not apply to this product or service. </v>
      </c>
      <c r="F218" s="210"/>
      <c r="G218" s="196" t="str">
        <f>VLOOKUP($A218,Questions!$A$2:$X$333,21,0)&amp;""</f>
        <v>Yes</v>
      </c>
      <c r="H218" s="197"/>
      <c r="I218" s="198" t="str">
        <f>VLOOKUP($A218,Questions!$A$2:$X$333,23,0)&amp;""</f>
        <v>Minor Importance</v>
      </c>
      <c r="J218" s="197"/>
      <c r="K218" s="199" t="b">
        <f>FALSE()</f>
        <v>0</v>
      </c>
      <c r="L218" s="3"/>
    </row>
    <row r="219" spans="1:12" s="3" customFormat="1" ht="17.25" customHeight="1" x14ac:dyDescent="0.15">
      <c r="A219" s="32" t="str">
        <f>VLOOKUP(LEFT($A220,4),'Auto Responses'!$N$4:$O$38,2,0)&amp;""</f>
        <v xml:space="preserve"> Vulnerability Management</v>
      </c>
      <c r="B219" s="41"/>
      <c r="C219" s="42"/>
      <c r="D219" s="42"/>
      <c r="E219" s="203"/>
      <c r="F219" s="191" t="s">
        <v>468</v>
      </c>
      <c r="G219" s="200" t="s">
        <v>463</v>
      </c>
      <c r="H219" s="200" t="s">
        <v>464</v>
      </c>
      <c r="I219" s="200" t="s">
        <v>465</v>
      </c>
      <c r="J219" s="200" t="s">
        <v>466</v>
      </c>
      <c r="K219" s="200" t="s">
        <v>467</v>
      </c>
    </row>
    <row r="220" spans="1:12" s="189" customFormat="1" ht="27" customHeight="1" x14ac:dyDescent="0.15">
      <c r="A220" s="36" t="str">
        <f>Infrastructure!$A$69</f>
        <v>VULN-01</v>
      </c>
      <c r="B220" s="37" t="str">
        <f>VLOOKUP($A220,Infrastructure!$A$13:$E$74,2,0)&amp;""</f>
        <v>Are your systems and applications scanned with an authenticated user account for vulnerabilities (that are remediated) prior to new releases?*</v>
      </c>
      <c r="C220" s="198" t="str">
        <f>VLOOKUP($A220,Infrastructure!$A$13:$E$74,3,0)&amp;""</f>
        <v>N/A</v>
      </c>
      <c r="D220" s="70" t="str">
        <f>IF(LEFT(VLOOKUP($A220,Infrastructure!$A$13:$E$74,5,0),21)='Auto Responses'!$A$32,'Auto Responses'!$A$33,VLOOKUP($A220,Infrastructure!$A$13:$E$74,4,0))&amp;""</f>
        <v>This question does not apply.</v>
      </c>
      <c r="E220" s="204" t="str">
        <f>VLOOKUP($A220,Infrastructure!$A$13:$E$74,5,0)&amp;""</f>
        <v xml:space="preserve">Based on the response to REQU-01 on the "START HERE" tab, this question does not apply to this product or service. </v>
      </c>
      <c r="F220" s="210"/>
      <c r="G220" s="196" t="str">
        <f>VLOOKUP($A220,Questions!$A$2:$X$333,21,0)&amp;""</f>
        <v>Yes</v>
      </c>
      <c r="H220" s="197"/>
      <c r="I220" s="198" t="str">
        <f>VLOOKUP($A220,Questions!$A$2:$X$333,23,0)&amp;""</f>
        <v>Critical Importance</v>
      </c>
      <c r="J220" s="197"/>
      <c r="K220" s="199" t="b">
        <f>FALSE()</f>
        <v>0</v>
      </c>
      <c r="L220" s="3"/>
    </row>
    <row r="221" spans="1:12" s="189" customFormat="1" ht="27" customHeight="1" x14ac:dyDescent="0.15">
      <c r="A221" s="36" t="str">
        <f>Infrastructure!$A$70</f>
        <v>VULN-02</v>
      </c>
      <c r="B221" s="37" t="str">
        <f>VLOOKUP($A221,Infrastructure!$A$13:$E$74,2,0)&amp;""</f>
        <v>Will you provide results of application and system vulnerability scans to the institution?*</v>
      </c>
      <c r="C221" s="198" t="str">
        <f>VLOOKUP($A221,Infrastructure!$A$13:$E$74,3,0)&amp;""</f>
        <v>N/A</v>
      </c>
      <c r="D221" s="70" t="str">
        <f>IF(LEFT(VLOOKUP($A221,Infrastructure!$A$13:$E$74,5,0),21)='Auto Responses'!$A$32,'Auto Responses'!$A$33,VLOOKUP($A221,Infrastructure!$A$13:$E$74,4,0))&amp;""</f>
        <v>This question does not apply.</v>
      </c>
      <c r="E221" s="204" t="str">
        <f>VLOOKUP($A221,Infrastructure!$A$13:$E$74,5,0)&amp;""</f>
        <v xml:space="preserve">Based on the response to REQU-01 on the "START HERE" tab, this question does not apply to this product or service. </v>
      </c>
      <c r="F221" s="210"/>
      <c r="G221" s="196" t="str">
        <f>VLOOKUP($A221,Questions!$A$2:$X$333,21,0)&amp;""</f>
        <v>Yes</v>
      </c>
      <c r="H221" s="197"/>
      <c r="I221" s="198" t="str">
        <f>VLOOKUP($A221,Questions!$A$2:$X$333,23,0)&amp;""</f>
        <v>Critical Importance</v>
      </c>
      <c r="J221" s="197"/>
      <c r="K221" s="199" t="b">
        <f>FALSE()</f>
        <v>0</v>
      </c>
      <c r="L221" s="3"/>
    </row>
    <row r="222" spans="1:12" s="189" customFormat="1" ht="40.5" customHeight="1" x14ac:dyDescent="0.15">
      <c r="A222" s="36" t="str">
        <f>Infrastructure!$A$71</f>
        <v>VULN-03</v>
      </c>
      <c r="B222" s="37" t="str">
        <f>VLOOKUP($A222,Infrastructure!$A$13:$E$74,2,0)&amp;""</f>
        <v>Will you allow the institution to perform its own vulnerability testing and/or scanning of your systems and/or application, provided that testing is performed at a mutually agreed upon time and date?*</v>
      </c>
      <c r="C222" s="198" t="str">
        <f>VLOOKUP($A222,Infrastructure!$A$13:$E$74,3,0)&amp;""</f>
        <v>N/A</v>
      </c>
      <c r="D222" s="70" t="str">
        <f>IF(LEFT(VLOOKUP($A222,Infrastructure!$A$13:$E$74,5,0),21)='Auto Responses'!$A$32,'Auto Responses'!$A$33,VLOOKUP($A222,Infrastructure!$A$13:$E$74,4,0))&amp;""</f>
        <v>This question does not apply.</v>
      </c>
      <c r="E222" s="204" t="str">
        <f>VLOOKUP($A222,Infrastructure!$A$13:$E$74,5,0)&amp;""</f>
        <v xml:space="preserve">Based on the response to REQU-01 on the "START HERE" tab, this question does not apply to this product or service. </v>
      </c>
      <c r="F222" s="210"/>
      <c r="G222" s="196" t="str">
        <f>VLOOKUP($A222,Questions!$A$2:$X$333,21,0)&amp;""</f>
        <v>Yes</v>
      </c>
      <c r="H222" s="197"/>
      <c r="I222" s="198" t="str">
        <f>VLOOKUP($A222,Questions!$A$2:$X$333,23,0)&amp;""</f>
        <v>Critical Importance</v>
      </c>
      <c r="J222" s="197"/>
      <c r="K222" s="199" t="b">
        <f>FALSE()</f>
        <v>0</v>
      </c>
      <c r="L222" s="3"/>
    </row>
    <row r="223" spans="1:12" s="189" customFormat="1" ht="27" customHeight="1" x14ac:dyDescent="0.15">
      <c r="A223" s="36" t="str">
        <f>Infrastructure!$A$72</f>
        <v>VULN-04</v>
      </c>
      <c r="B223" s="37" t="str">
        <f>VLOOKUP($A223,Infrastructure!$A$13:$E$74,2,0)&amp;""</f>
        <v>Have your systems and applications had a third-party security assessment completed in the last year?</v>
      </c>
      <c r="C223" s="198" t="str">
        <f>VLOOKUP($A223,Infrastructure!$A$13:$E$74,3,0)&amp;""</f>
        <v>N/A</v>
      </c>
      <c r="D223" s="70" t="str">
        <f>IF(LEFT(VLOOKUP($A223,Infrastructure!$A$13:$E$74,5,0),21)='Auto Responses'!$A$32,'Auto Responses'!$A$33,VLOOKUP($A223,Infrastructure!$A$13:$E$74,4,0))&amp;""</f>
        <v>This question does not apply.</v>
      </c>
      <c r="E223" s="204" t="str">
        <f>VLOOKUP($A223,Infrastructure!$A$13:$E$74,5,0)&amp;""</f>
        <v xml:space="preserve">Based on the response to REQU-01 on the "START HERE" tab, this question does not apply to this product or service. </v>
      </c>
      <c r="F223" s="210"/>
      <c r="G223" s="196" t="str">
        <f>VLOOKUP($A223,Questions!$A$2:$X$333,21,0)&amp;""</f>
        <v>Yes</v>
      </c>
      <c r="H223" s="197"/>
      <c r="I223" s="198" t="str">
        <f>VLOOKUP($A223,Questions!$A$2:$X$333,23,0)&amp;""</f>
        <v>Standard Importance</v>
      </c>
      <c r="J223" s="197"/>
      <c r="K223" s="199" t="b">
        <f>FALSE()</f>
        <v>0</v>
      </c>
      <c r="L223" s="3"/>
    </row>
    <row r="224" spans="1:12" s="189" customFormat="1" ht="60" customHeight="1" x14ac:dyDescent="0.15">
      <c r="A224" s="36" t="str">
        <f>Infrastructure!$A$73</f>
        <v>VULN-05</v>
      </c>
      <c r="B224" s="37" t="str">
        <f>VLOOKUP($A224,Infrastructure!$A$13:$E$74,2,0)&amp;""</f>
        <v>Do you regularly scan for common web application security vulnerabilities (e.g., SQL injection, XSS, XSRF, etc.)?</v>
      </c>
      <c r="C224" s="198" t="str">
        <f>VLOOKUP($A224,Infrastructure!$A$13:$E$74,3,0)&amp;""</f>
        <v>N/A</v>
      </c>
      <c r="D224" s="70" t="str">
        <f>IF(LEFT(VLOOKUP($A224,Infrastructure!$A$13:$E$74,5,0),21)='Auto Responses'!$A$32,'Auto Responses'!$A$33,VLOOKUP($A224,Infrastructure!$A$13:$E$74,4,0))&amp;""</f>
        <v>This question does not apply.</v>
      </c>
      <c r="E224" s="204" t="str">
        <f>VLOOKUP($A224,Infrastructure!$A$13:$E$74,5,0)&amp;""</f>
        <v xml:space="preserve">Based on the response to REQU-01 on the "START HERE" tab, this question does not apply to this product or service. </v>
      </c>
      <c r="F224" s="210"/>
      <c r="G224" s="196" t="str">
        <f>VLOOKUP($A224,Questions!$A$2:$X$333,21,0)&amp;""</f>
        <v>Yes</v>
      </c>
      <c r="H224" s="197"/>
      <c r="I224" s="198" t="str">
        <f>VLOOKUP($A224,Questions!$A$2:$X$333,23,0)&amp;""</f>
        <v>Standard Importance</v>
      </c>
      <c r="J224" s="197"/>
      <c r="K224" s="199" t="b">
        <f>FALSE()</f>
        <v>0</v>
      </c>
      <c r="L224" s="3"/>
    </row>
    <row r="225" spans="1:12" s="189" customFormat="1" ht="27" customHeight="1" x14ac:dyDescent="0.15">
      <c r="A225" s="36" t="str">
        <f>Infrastructure!$A$74</f>
        <v>VULN-06</v>
      </c>
      <c r="B225" s="37" t="str">
        <f>VLOOKUP($A225,Infrastructure!$A$13:$E$74,2,0)&amp;""</f>
        <v>Are your systems and applications regularly scanned externally for vulnerabilities?</v>
      </c>
      <c r="C225" s="198" t="str">
        <f>VLOOKUP($A225,Infrastructure!$A$13:$E$74,3,0)&amp;""</f>
        <v>N/A</v>
      </c>
      <c r="D225" s="70" t="str">
        <f>IF(LEFT(VLOOKUP($A225,Infrastructure!$A$13:$E$74,5,0),21)='Auto Responses'!$A$32,'Auto Responses'!$A$33,VLOOKUP($A225,Infrastructure!$A$13:$E$74,4,0))&amp;""</f>
        <v>This question does not apply.</v>
      </c>
      <c r="E225" s="204" t="str">
        <f>VLOOKUP($A225,Infrastructure!$A$13:$E$74,5,0)&amp;""</f>
        <v xml:space="preserve">Based on the response to REQU-01 on the "START HERE" tab, this question does not apply to this product or service. </v>
      </c>
      <c r="F225" s="210"/>
      <c r="G225" s="196" t="str">
        <f>VLOOKUP($A225,Questions!$A$2:$X$333,21,0)&amp;""</f>
        <v>Yes</v>
      </c>
      <c r="H225" s="197"/>
      <c r="I225" s="198" t="str">
        <f>VLOOKUP($A225,Questions!$A$2:$X$333,23,0)&amp;""</f>
        <v>Minor Importance</v>
      </c>
      <c r="J225" s="197"/>
      <c r="K225" s="211" t="b">
        <f>FALSE()</f>
        <v>0</v>
      </c>
      <c r="L225" s="3"/>
    </row>
    <row r="226" spans="1:12" s="3" customFormat="1" ht="17.25" customHeight="1" x14ac:dyDescent="0.15">
      <c r="A226" s="32" t="str">
        <f>VLOOKUP(LEFT($A227,4),'Auto Responses'!$N$4:$O$38,2,0)&amp;""</f>
        <v xml:space="preserve"> IT Accessibility</v>
      </c>
      <c r="B226" s="41"/>
      <c r="C226" s="42"/>
      <c r="D226" s="42"/>
      <c r="E226" s="203"/>
      <c r="F226" s="191" t="s">
        <v>468</v>
      </c>
      <c r="G226" s="200" t="s">
        <v>463</v>
      </c>
      <c r="H226" s="200" t="s">
        <v>464</v>
      </c>
      <c r="I226" s="200" t="s">
        <v>465</v>
      </c>
      <c r="J226" s="200" t="s">
        <v>466</v>
      </c>
      <c r="K226" s="200" t="s">
        <v>467</v>
      </c>
    </row>
    <row r="227" spans="1:12" s="189" customFormat="1" ht="15" customHeight="1" x14ac:dyDescent="0.15">
      <c r="A227" s="36" t="str">
        <f>'IT Accessibility'!$A$20</f>
        <v>ITAC-01</v>
      </c>
      <c r="B227" s="37" t="str">
        <f>VLOOKUP($A227,'IT Accessibility'!$A$13:$E$37,2,0)&amp;""</f>
        <v>Solution Provider Accessibility Contact Name</v>
      </c>
      <c r="C227" s="202" t="str">
        <f>VLOOKUP($A227,'IT Accessibility'!$A$13:$E$37,3,0)&amp;""</f>
        <v>Sven Wende</v>
      </c>
      <c r="D227" s="193" t="str">
        <f>IF(LEFT(VLOOKUP($A227,'IT Accessibility'!$A$13:$E$37,5,0),21)='Auto Responses'!$A$32,'Auto Responses'!$A$33,VLOOKUP($A227,'IT Accessibility'!$A$13:$E$37,4,0))&amp;""</f>
        <v/>
      </c>
      <c r="E227" s="212" t="str">
        <f>VLOOKUP($A227,'IT Accessibility'!$A$13:$E$37,5,0)&amp;""</f>
        <v/>
      </c>
      <c r="F227" s="210"/>
      <c r="G227" s="196" t="str">
        <f>VLOOKUP($A227,Questions!$A$2:$X$333,21,0)&amp;""</f>
        <v>Not scored</v>
      </c>
      <c r="H227" s="197"/>
      <c r="I227" s="198" t="str">
        <f>VLOOKUP($A227,Questions!$A$2:$X$333,23,0)&amp;""</f>
        <v/>
      </c>
      <c r="J227" s="197"/>
      <c r="K227" s="199" t="b">
        <f>FALSE()</f>
        <v>0</v>
      </c>
      <c r="L227" s="3"/>
    </row>
    <row r="228" spans="1:12" s="189" customFormat="1" ht="15" customHeight="1" x14ac:dyDescent="0.15">
      <c r="A228" s="36" t="str">
        <f>'IT Accessibility'!$A$21</f>
        <v>ITAC-02</v>
      </c>
      <c r="B228" s="37" t="str">
        <f>VLOOKUP($A228,'IT Accessibility'!$A$13:$E$37,2,0)&amp;""</f>
        <v>Solution Provider Accessibility Contact Title</v>
      </c>
      <c r="C228" s="202" t="str">
        <f>VLOOKUP($A228,'IT Accessibility'!$A$13:$E$37,3,0)&amp;""</f>
        <v>Co-Founder &amp; Managing Director</v>
      </c>
      <c r="D228" s="193" t="str">
        <f>IF(LEFT(VLOOKUP($A228,'IT Accessibility'!$A$13:$E$37,5,0),21)='Auto Responses'!$A$32,'Auto Responses'!$A$33,VLOOKUP($A228,'IT Accessibility'!$A$13:$E$37,4,0))&amp;""</f>
        <v/>
      </c>
      <c r="E228" s="212" t="str">
        <f>VLOOKUP($A228,'IT Accessibility'!$A$13:$E$37,5,0)&amp;""</f>
        <v/>
      </c>
      <c r="F228" s="210"/>
      <c r="G228" s="196" t="str">
        <f>VLOOKUP($A228,Questions!$A$2:$X$333,21,0)&amp;""</f>
        <v>Not scored</v>
      </c>
      <c r="H228" s="197"/>
      <c r="I228" s="198" t="str">
        <f>VLOOKUP($A228,Questions!$A$2:$X$333,23,0)&amp;""</f>
        <v/>
      </c>
      <c r="J228" s="197"/>
      <c r="K228" s="199" t="b">
        <f>FALSE()</f>
        <v>0</v>
      </c>
      <c r="L228" s="3"/>
    </row>
    <row r="229" spans="1:12" s="189" customFormat="1" ht="15" customHeight="1" x14ac:dyDescent="0.15">
      <c r="A229" s="36" t="str">
        <f>'IT Accessibility'!$A$22</f>
        <v>ITAC-03</v>
      </c>
      <c r="B229" s="37" t="str">
        <f>VLOOKUP($A229,'IT Accessibility'!$A$13:$E$37,2,0)&amp;""</f>
        <v>Solution Provider Accessibility Contact Email</v>
      </c>
      <c r="C229" s="202" t="str">
        <f>VLOOKUP($A229,'IT Accessibility'!$A$13:$E$37,3,0)&amp;""</f>
        <v>s.wende@smartpls.gmbh</v>
      </c>
      <c r="D229" s="193" t="str">
        <f>IF(LEFT(VLOOKUP($A229,'IT Accessibility'!$A$13:$E$37,5,0),21)='Auto Responses'!$A$32,'Auto Responses'!$A$33,VLOOKUP($A229,'IT Accessibility'!$A$13:$E$37,4,0))&amp;""</f>
        <v/>
      </c>
      <c r="E229" s="212" t="str">
        <f>VLOOKUP($A229,'IT Accessibility'!$A$13:$E$37,5,0)&amp;""</f>
        <v/>
      </c>
      <c r="F229" s="210"/>
      <c r="G229" s="196" t="str">
        <f>VLOOKUP($A229,Questions!$A$2:$X$333,21,0)&amp;""</f>
        <v>Not scored</v>
      </c>
      <c r="H229" s="197"/>
      <c r="I229" s="198" t="str">
        <f>VLOOKUP($A229,Questions!$A$2:$X$333,23,0)&amp;""</f>
        <v/>
      </c>
      <c r="J229" s="197"/>
      <c r="K229" s="199" t="b">
        <f>FALSE()</f>
        <v>0</v>
      </c>
      <c r="L229" s="3"/>
    </row>
    <row r="230" spans="1:12" s="189" customFormat="1" ht="15" customHeight="1" x14ac:dyDescent="0.15">
      <c r="A230" s="36" t="str">
        <f>'IT Accessibility'!$A$23</f>
        <v>ITAC-04</v>
      </c>
      <c r="B230" s="37" t="str">
        <f>VLOOKUP($A230,'IT Accessibility'!$A$13:$E$37,2,0)&amp;""</f>
        <v>Solution Provider Accessibility Contact Phone Number</v>
      </c>
      <c r="C230" s="202" t="str">
        <f>VLOOKUP($A230,'IT Accessibility'!$A$13:$E$37,3,0)&amp;""</f>
        <v>+49 21732643460</v>
      </c>
      <c r="D230" s="193" t="str">
        <f>IF(LEFT(VLOOKUP($A230,'IT Accessibility'!$A$13:$E$37,5,0),21)='Auto Responses'!$A$32,'Auto Responses'!$A$33,VLOOKUP($A230,'IT Accessibility'!$A$13:$E$37,4,0))&amp;""</f>
        <v/>
      </c>
      <c r="E230" s="212" t="str">
        <f>VLOOKUP($A230,'IT Accessibility'!$A$13:$E$37,5,0)&amp;""</f>
        <v/>
      </c>
      <c r="F230" s="210"/>
      <c r="G230" s="196" t="str">
        <f>VLOOKUP($A230,Questions!$A$2:$X$333,21,0)&amp;""</f>
        <v>Not scored</v>
      </c>
      <c r="H230" s="197"/>
      <c r="I230" s="198" t="str">
        <f>VLOOKUP($A230,Questions!$A$2:$X$333,23,0)&amp;""</f>
        <v/>
      </c>
      <c r="J230" s="197"/>
      <c r="K230" s="199" t="b">
        <f>FALSE()</f>
        <v>0</v>
      </c>
      <c r="L230" s="3"/>
    </row>
    <row r="231" spans="1:12" s="189" customFormat="1" ht="45" customHeight="1" x14ac:dyDescent="0.15">
      <c r="A231" s="36" t="str">
        <f>'IT Accessibility'!$A$24</f>
        <v>ITAC-05</v>
      </c>
      <c r="B231" s="37" t="str">
        <f>VLOOKUP($A231,'IT Accessibility'!$A$13:$E$37,2,0)&amp;""</f>
        <v>Web Link to Accessibility Statement or VPAT</v>
      </c>
      <c r="C231" s="202" t="str">
        <f>VLOOKUP($A231,'IT Accessibility'!$A$13:$E$37,3,0)&amp;""</f>
        <v>https://smartpls.com/vpat</v>
      </c>
      <c r="D231" s="193" t="str">
        <f>IF(LEFT(VLOOKUP($A231,'IT Accessibility'!$A$13:$E$37,5,0),21)='Auto Responses'!$A$32,'Auto Responses'!$A$33,VLOOKUP($A231,'IT Accessibility'!$A$13:$E$37,4,0))&amp;""</f>
        <v/>
      </c>
      <c r="E231" s="212" t="str">
        <f>VLOOKUP($A231,'IT Accessibility'!$A$13:$E$37,5,0)&amp;""</f>
        <v>VPAT can also be added as an attachment</v>
      </c>
      <c r="F231" s="210"/>
      <c r="G231" s="196" t="str">
        <f>VLOOKUP($A231,Questions!$A$2:$X$333,21,0)&amp;""</f>
        <v>Not scored</v>
      </c>
      <c r="H231" s="197"/>
      <c r="I231" s="198" t="str">
        <f>VLOOKUP($A231,Questions!$A$2:$X$333,23,0)&amp;""</f>
        <v/>
      </c>
      <c r="J231" s="197"/>
      <c r="K231" s="199" t="b">
        <f>FALSE()</f>
        <v>0</v>
      </c>
      <c r="L231" s="3"/>
    </row>
    <row r="232" spans="1:12" s="189" customFormat="1" ht="240" customHeight="1" x14ac:dyDescent="0.15">
      <c r="A232" s="36" t="str">
        <f>'IT Accessibility'!$A$25</f>
        <v>ITAC-06</v>
      </c>
      <c r="B232" s="37" t="str">
        <f>VLOOKUP($A232,'IT Accessibility'!$A$13:$E$37,2,0)&amp;""</f>
        <v>Has a VPAT or ACR been created or updated for the solution and version under consideration within the past 12 months?*</v>
      </c>
      <c r="C232" s="198" t="str">
        <f>VLOOKUP($A232,'IT Accessibility'!$A$13:$E$37,3,0)&amp;""</f>
        <v>Yes</v>
      </c>
      <c r="D232" s="70" t="str">
        <f>IF(LEFT(VLOOKUP($A232,'IT Accessibility'!$A$13:$E$37,5,0),21)='Auto Responses'!$A$32,'Auto Responses'!$A$33,VLOOKUP($A232,'IT Accessibility'!$A$13:$E$37,4,0))&amp;""</f>
        <v>The VPAT/Accessibility Conformance Report was updated for SmartPLS 4.1.1.9 and is published at https://smartpls.com/accessibility.</v>
      </c>
      <c r="E232" s="212" t="str">
        <f>VLOOKUP($A232,'IT Accessibility'!$A$13:$E$37,5,0)&amp;""</f>
        <v>State the date the VPAT was completed. Include this VPAT in your submission and/or link to its web location.</v>
      </c>
      <c r="F232" s="210"/>
      <c r="G232" s="196" t="str">
        <f>VLOOKUP($A232,Questions!$A$2:$X$333,21,0)&amp;""</f>
        <v>Yes</v>
      </c>
      <c r="H232" s="197"/>
      <c r="I232" s="198" t="str">
        <f>VLOOKUP($A232,Questions!$A$2:$X$333,23,0)&amp;""</f>
        <v>Critical Importance</v>
      </c>
      <c r="J232" s="197"/>
      <c r="K232" s="199" t="b">
        <f>FALSE()</f>
        <v>0</v>
      </c>
      <c r="L232" s="3"/>
    </row>
    <row r="233" spans="1:12" s="189" customFormat="1" ht="27" customHeight="1" x14ac:dyDescent="0.15">
      <c r="A233" s="36" t="str">
        <f>'IT Accessibility'!$A$26</f>
        <v>ITAC-07</v>
      </c>
      <c r="B233" s="37" t="str">
        <f>VLOOKUP($A233,'IT Accessibility'!$A$13:$E$37,2,0)&amp;""</f>
        <v>Will your company agree to meet your stated accessibility standard or WCAG 2.1 AA as part of your contractual agreement for the solution?*</v>
      </c>
      <c r="C233" s="198" t="str">
        <f>VLOOKUP($A233,'IT Accessibility'!$A$13:$E$37,3,0)&amp;""</f>
        <v>No</v>
      </c>
      <c r="D233" s="70" t="str">
        <f>IF(LEFT(VLOOKUP($A233,'IT Accessibility'!$A$13:$E$37,5,0),21)='Auto Responses'!$A$32,'Auto Responses'!$A$33,VLOOKUP($A233,'IT Accessibility'!$A$13:$E$37,4,0))&amp;""</f>
        <v>SmartPLS GmbH does not currently offer a contractual commitment to WCAG 2.1 AA conformance.</v>
      </c>
      <c r="E233" s="212" t="str">
        <f>VLOOKUP($A233,'IT Accessibility'!$A$13:$E$37,5,0)&amp;""</f>
        <v/>
      </c>
      <c r="F233" s="210"/>
      <c r="G233" s="196" t="str">
        <f>VLOOKUP($A233,Questions!$A$2:$X$333,21,0)&amp;""</f>
        <v>Yes</v>
      </c>
      <c r="H233" s="197"/>
      <c r="I233" s="198" t="str">
        <f>VLOOKUP($A233,Questions!$A$2:$X$333,23,0)&amp;""</f>
        <v>Critical Importance</v>
      </c>
      <c r="J233" s="197"/>
      <c r="K233" s="199" t="b">
        <f>FALSE()</f>
        <v>0</v>
      </c>
      <c r="L233" s="3"/>
    </row>
    <row r="234" spans="1:12" s="189" customFormat="1" ht="285" customHeight="1" x14ac:dyDescent="0.15">
      <c r="A234" s="36" t="str">
        <f>'IT Accessibility'!$A$27</f>
        <v>ITAC-08</v>
      </c>
      <c r="B234" s="37" t="str">
        <f>VLOOKUP($A234,'IT Accessibility'!$A$13:$E$37,2,0)&amp;""</f>
        <v>Does the solution substantially conform to WCAG 2.1 AA?*</v>
      </c>
      <c r="C234" s="198" t="str">
        <f>VLOOKUP($A234,'IT Accessibility'!$A$13:$E$37,3,0)&amp;""</f>
        <v>No</v>
      </c>
      <c r="D234" s="70" t="str">
        <f>IF(LEFT(VLOOKUP($A234,'IT Accessibility'!$A$13:$E$37,5,0),21)='Auto Responses'!$A$32,'Auto Responses'!$A$33,VLOOKUP($A234,'IT Accessibility'!$A$13:$E$37,4,0))&amp;""</f>
        <v>SmartPLS 4.1.1.9 provides partial conformance with substantial improvements. Core model-building is keyboard accessible; the toolbar is reachable with Tab and Shift+Tab; projects and files open with Enter; and context menus open with the Context Menu key or Shift+F10. Focus is visible on nearly all controls, contrast was reviewed, and zoom behavior was largely improved. Remaining limitations include a model that is not meaningfully accessible to screen readers, status and error messages that are not announced automatically, information conveyed only by color, minor keyboard barriers, and no completed Windows screen-reader testing.</v>
      </c>
      <c r="E234" s="212"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210"/>
      <c r="G234" s="196" t="str">
        <f>VLOOKUP($A234,Questions!$A$2:$X$333,21,0)&amp;""</f>
        <v>Yes</v>
      </c>
      <c r="H234" s="197"/>
      <c r="I234" s="198" t="str">
        <f>VLOOKUP($A234,Questions!$A$2:$X$333,23,0)&amp;""</f>
        <v>Critical Importance</v>
      </c>
      <c r="J234" s="197"/>
      <c r="K234" s="199" t="b">
        <f>FALSE()</f>
        <v>0</v>
      </c>
      <c r="L234" s="3"/>
    </row>
    <row r="235" spans="1:12" s="189" customFormat="1" ht="150" customHeight="1" x14ac:dyDescent="0.15">
      <c r="A235" s="36" t="str">
        <f>'IT Accessibility'!$A$28</f>
        <v>ITAC-09</v>
      </c>
      <c r="B235" s="37" t="str">
        <f>VLOOKUP($A235,'IT Accessibility'!$A$13:$E$37,2,0)&amp;""</f>
        <v>Do you have a documented and implemented process for reporting and tracking accessibility issues?*</v>
      </c>
      <c r="C235" s="198" t="str">
        <f>VLOOKUP($A235,'IT Accessibility'!$A$13:$E$37,3,0)&amp;""</f>
        <v>Yes</v>
      </c>
      <c r="D235" s="70" t="str">
        <f>IF(LEFT(VLOOKUP($A235,'IT Accessibility'!$A$13:$E$37,5,0),21)='Auto Responses'!$A$32,'Auto Responses'!$A$33,VLOOKUP($A235,'IT Accessibility'!$A$13:$E$37,4,0))&amp;""</f>
        <v>A documented support and ticket process is used to report, track, and address accessibility issues.</v>
      </c>
      <c r="E235" s="212" t="str">
        <f>VLOOKUP($A235,'IT Accessibility'!$A$13:$E$37,5,0)&amp;""</f>
        <v>Describe the process and any recent examples of fixes as a result of the process.</v>
      </c>
      <c r="F235" s="210"/>
      <c r="G235" s="196" t="str">
        <f>VLOOKUP($A235,Questions!$A$2:$X$333,21,0)&amp;""</f>
        <v>Yes</v>
      </c>
      <c r="H235" s="197"/>
      <c r="I235" s="198" t="str">
        <f>VLOOKUP($A235,Questions!$A$2:$X$333,23,0)&amp;""</f>
        <v>Critical Importance</v>
      </c>
      <c r="J235" s="197"/>
      <c r="K235" s="199" t="b">
        <f>FALSE()</f>
        <v>0</v>
      </c>
      <c r="L235" s="3"/>
    </row>
    <row r="236" spans="1:12" s="189" customFormat="1" ht="165" customHeight="1" x14ac:dyDescent="0.15">
      <c r="A236" s="36" t="str">
        <f>'IT Accessibility'!$A$29</f>
        <v>ITAC-10</v>
      </c>
      <c r="B236" s="37" t="str">
        <f>VLOOKUP($A236,'IT Accessibility'!$A$13:$E$37,2,0)&amp;""</f>
        <v>Do you have documentation to support the accessibility features of your solution?</v>
      </c>
      <c r="C236" s="198" t="str">
        <f>VLOOKUP($A236,'IT Accessibility'!$A$13:$E$37,3,0)&amp;""</f>
        <v>Yes</v>
      </c>
      <c r="D236" s="70" t="str">
        <f>IF(LEFT(VLOOKUP($A236,'IT Accessibility'!$A$13:$E$37,5,0),21)='Auto Responses'!$A$32,'Auto Responses'!$A$33,VLOOKUP($A236,'IT Accessibility'!$A$13:$E$37,4,0))&amp;""</f>
        <v>A short public accessibility guide is available at https://smartpls.com/accessibility. The current VPAT is also available at https://smartpls.com/accessibility.</v>
      </c>
      <c r="E236" s="212" t="str">
        <f>VLOOKUP($A236,'IT Accessibility'!$A$13:$E$37,5,0)&amp;""</f>
        <v>Provide examples with links where possible.</v>
      </c>
      <c r="F236" s="210"/>
      <c r="G236" s="196" t="str">
        <f>VLOOKUP($A236,Questions!$A$2:$X$333,21,0)&amp;""</f>
        <v>Yes</v>
      </c>
      <c r="H236" s="197"/>
      <c r="I236" s="198" t="str">
        <f>VLOOKUP($A236,Questions!$A$2:$X$333,23,0)&amp;""</f>
        <v>Standard Importance</v>
      </c>
      <c r="J236" s="197"/>
      <c r="K236" s="199" t="b">
        <f>FALSE()</f>
        <v>0</v>
      </c>
      <c r="L236" s="3"/>
    </row>
    <row r="237" spans="1:12" s="189" customFormat="1" ht="165" customHeight="1" x14ac:dyDescent="0.15">
      <c r="A237" s="36" t="str">
        <f>'IT Accessibility'!$A$30</f>
        <v>ITAC-11</v>
      </c>
      <c r="B237" s="37" t="str">
        <f>VLOOKUP($A237,'IT Accessibility'!$A$13:$E$37,2,0)&amp;""</f>
        <v>Has a third-party expert conducted an audit of the most recent version of your solution?</v>
      </c>
      <c r="C237" s="198" t="str">
        <f>VLOOKUP($A237,'IT Accessibility'!$A$13:$E$37,3,0)&amp;""</f>
        <v>No</v>
      </c>
      <c r="D237" s="70" t="str">
        <f>IF(LEFT(VLOOKUP($A237,'IT Accessibility'!$A$13:$E$37,5,0),21)='Auto Responses'!$A$32,'Auto Responses'!$A$33,VLOOKUP($A237,'IT Accessibility'!$A$13:$E$37,4,0))&amp;""</f>
        <v>The most recent version, SmartPLS 4.1.1.9, was self-assessed. No independent third-party accessibility audit has been performed.</v>
      </c>
      <c r="E237" s="212" t="str">
        <f>VLOOKUP($A237,'IT Accessibility'!$A$13:$E$37,5,0)&amp;""</f>
        <v>Please provide plans (when and by whom) of any planned audit, or a rationale if no third-party audit is planned.</v>
      </c>
      <c r="F237" s="210"/>
      <c r="G237" s="196" t="str">
        <f>VLOOKUP($A237,Questions!$A$2:$X$333,21,0)&amp;""</f>
        <v>Yes</v>
      </c>
      <c r="H237" s="197"/>
      <c r="I237" s="198" t="str">
        <f>VLOOKUP($A237,Questions!$A$2:$X$333,23,0)&amp;""</f>
        <v>Standard Importance</v>
      </c>
      <c r="J237" s="197"/>
      <c r="K237" s="199" t="b">
        <f>FALSE()</f>
        <v>0</v>
      </c>
      <c r="L237" s="3"/>
    </row>
    <row r="238" spans="1:12" s="189" customFormat="1" ht="27" customHeight="1" x14ac:dyDescent="0.15">
      <c r="A238" s="36" t="str">
        <f>'IT Accessibility'!$A$31</f>
        <v>ITAC-12</v>
      </c>
      <c r="B238" s="37" t="str">
        <f>VLOOKUP($A238,'IT Accessibility'!$A$13:$E$37,2,0)&amp;""</f>
        <v>Do you have a documented and implemented process for verifying accessibility conformance?</v>
      </c>
      <c r="C238" s="198" t="str">
        <f>VLOOKUP($A238,'IT Accessibility'!$A$13:$E$37,3,0)&amp;""</f>
        <v>Yes</v>
      </c>
      <c r="D238" s="70" t="str">
        <f>IF(LEFT(VLOOKUP($A238,'IT Accessibility'!$A$13:$E$37,5,0),21)='Auto Responses'!$A$32,'Auto Responses'!$A$33,VLOOKUP($A238,'IT Accessibility'!$A$13:$E$37,4,0))&amp;""</f>
        <v>A documented accessibility checklist is applied to every release. It covers keyboard operation, focus visibility, contrast, zoom behavior, and targeted checks of individual controls with VoiceOver.</v>
      </c>
      <c r="E238" s="212" t="str">
        <f>VLOOKUP($A238,'IT Accessibility'!$A$13:$E$37,5,0)&amp;""</f>
        <v>Describe your processes and methodologies for validating accessibility conformance.</v>
      </c>
      <c r="F238" s="210"/>
      <c r="G238" s="196" t="str">
        <f>VLOOKUP($A238,Questions!$A$2:$X$333,21,0)&amp;""</f>
        <v>Yes</v>
      </c>
      <c r="H238" s="197"/>
      <c r="I238" s="198" t="str">
        <f>VLOOKUP($A238,Questions!$A$2:$X$333,23,0)&amp;""</f>
        <v>Standard Importance</v>
      </c>
      <c r="J238" s="197"/>
      <c r="K238" s="199" t="b">
        <f>FALSE()</f>
        <v>0</v>
      </c>
      <c r="L238" s="3"/>
    </row>
    <row r="239" spans="1:12" s="189" customFormat="1" ht="180" customHeight="1" x14ac:dyDescent="0.15">
      <c r="A239" s="36" t="str">
        <f>'IT Accessibility'!$A$32</f>
        <v>ITAC-13</v>
      </c>
      <c r="B239" s="37" t="str">
        <f>VLOOKUP($A239,'IT Accessibility'!$A$13:$E$37,2,0)&amp;""</f>
        <v>Have you adopted a technical or legal standard of conformance for the solution?</v>
      </c>
      <c r="C239" s="198" t="str">
        <f>VLOOKUP($A239,'IT Accessibility'!$A$13:$E$37,3,0)&amp;""</f>
        <v>No</v>
      </c>
      <c r="D239" s="70" t="str">
        <f>IF(LEFT(VLOOKUP($A239,'IT Accessibility'!$A$13:$E$37,5,0),21)='Auto Responses'!$A$32,'Auto Responses'!$A$33,VLOOKUP($A239,'IT Accessibility'!$A$13:$E$37,4,0))&amp;""</f>
        <v>WCAG 2.1 AA is used as guidance, but it has not been formally adopted as a binding technical or legal conformance standard.</v>
      </c>
      <c r="E239" s="212" t="str">
        <f>VLOOKUP($A239,'IT Accessibility'!$A$13:$E$37,5,0)&amp;""</f>
        <v>Summarize your decision to not adopt a technical or legal standard of conformance for the solution.</v>
      </c>
      <c r="F239" s="210"/>
      <c r="G239" s="196" t="str">
        <f>VLOOKUP($A239,Questions!$A$2:$X$333,21,0)&amp;""</f>
        <v>Yes</v>
      </c>
      <c r="H239" s="197"/>
      <c r="I239" s="198" t="str">
        <f>VLOOKUP($A239,Questions!$A$2:$X$333,23,0)&amp;""</f>
        <v>Standard Importance</v>
      </c>
      <c r="J239" s="197"/>
      <c r="K239" s="199" t="b">
        <f>FALSE()</f>
        <v>0</v>
      </c>
      <c r="L239" s="3"/>
    </row>
    <row r="240" spans="1:12" s="189" customFormat="1" ht="150" customHeight="1" x14ac:dyDescent="0.15">
      <c r="A240" s="36" t="str">
        <f>'IT Accessibility'!$A$33</f>
        <v>ITAC-14</v>
      </c>
      <c r="B240" s="37" t="str">
        <f>VLOOKUP($A240,'IT Accessibility'!$A$13:$E$37,2,0)&amp;""</f>
        <v>Can you provide a current, detailed accessibility roadmap with delivery timelines?</v>
      </c>
      <c r="C240" s="198" t="str">
        <f>VLOOKUP($A240,'IT Accessibility'!$A$13:$E$37,3,0)&amp;""</f>
        <v>No</v>
      </c>
      <c r="D240" s="70" t="str">
        <f>IF(LEFT(VLOOKUP($A240,'IT Accessibility'!$A$13:$E$37,5,0),21)='Auto Responses'!$A$32,'Auto Responses'!$A$33,VLOOKUP($A240,'IT Accessibility'!$A$13:$E$37,4,0))&amp;""</f>
        <v>Internal accessibility planning exists, but there is no current detailed public roadmap with fixed delivery timelines.</v>
      </c>
      <c r="E240" s="212" t="str">
        <f>VLOOKUP($A240,'IT Accessibility'!$A$13:$E$37,5,0)&amp;""</f>
        <v>Please provide any plans to develop and share an accessibility roadmap in the future.</v>
      </c>
      <c r="F240" s="210"/>
      <c r="G240" s="196" t="str">
        <f>VLOOKUP($A240,Questions!$A$2:$X$333,21,0)&amp;""</f>
        <v>Yes</v>
      </c>
      <c r="H240" s="197"/>
      <c r="I240" s="198" t="str">
        <f>VLOOKUP($A240,Questions!$A$2:$X$333,23,0)&amp;""</f>
        <v>Standard Importance</v>
      </c>
      <c r="J240" s="197"/>
      <c r="K240" s="199" t="b">
        <f>FALSE()</f>
        <v>0</v>
      </c>
      <c r="L240" s="3"/>
    </row>
    <row r="241" spans="1:12" s="189" customFormat="1" ht="345" customHeight="1" x14ac:dyDescent="0.15">
      <c r="A241" s="36" t="str">
        <f>'IT Accessibility'!$A$34</f>
        <v>ITAC-15</v>
      </c>
      <c r="B241" s="37" t="str">
        <f>VLOOKUP($A241,'IT Accessibility'!$A$13:$E$37,2,0)&amp;""</f>
        <v>Do you expect your staff to maintain a current skill set in IT accessibility?</v>
      </c>
      <c r="C241" s="198" t="str">
        <f>VLOOKUP($A241,'IT Accessibility'!$A$13:$E$37,3,0)&amp;""</f>
        <v>Yes</v>
      </c>
      <c r="D241" s="70" t="str">
        <f>IF(LEFT(VLOOKUP($A241,'IT Accessibility'!$A$13:$E$37,5,0),21)='Auto Responses'!$A$32,'Auto Responses'!$A$33,VLOOKUP($A241,'IT Accessibility'!$A$13:$E$37,4,0))&amp;""</f>
        <v>The team maintains accessibility knowledge through continuous internal engagement, review, and work on the topic.</v>
      </c>
      <c r="E241" s="212" t="str">
        <f>VLOOKUP($A241,'IT Accessibility'!$A$13:$E$37,5,0)&amp;""</f>
        <v>Provide any further relevant information about how expertise is maintained; include any accessibility certifications staff may hold (e.g., IAAP WAS &lt;https://www.accessibilityassociation.org/certifications&gt; or DHS Trusted Tester &lt;https://section508.gov/test/trusted-tester&gt;).</v>
      </c>
      <c r="F241" s="210"/>
      <c r="G241" s="196" t="str">
        <f>VLOOKUP($A241,Questions!$A$2:$X$333,21,0)&amp;""</f>
        <v>Yes</v>
      </c>
      <c r="H241" s="197"/>
      <c r="I241" s="198" t="str">
        <f>VLOOKUP($A241,Questions!$A$2:$X$333,23,0)&amp;""</f>
        <v>Standard Importance</v>
      </c>
      <c r="J241" s="197"/>
      <c r="K241" s="199" t="b">
        <f>FALSE()</f>
        <v>0</v>
      </c>
      <c r="L241" s="3"/>
    </row>
    <row r="242" spans="1:12" s="189" customFormat="1" ht="390" customHeight="1" x14ac:dyDescent="0.15">
      <c r="A242" s="36" t="str">
        <f>'IT Accessibility'!$A$35</f>
        <v>ITAC-16</v>
      </c>
      <c r="B242" s="37" t="str">
        <f>VLOOKUP($A242,'IT Accessibility'!$A$13:$E$37,2,0)&amp;""</f>
        <v>Do you have documented processes and procedures for implementing accessibility into your development lifecycle?</v>
      </c>
      <c r="C242" s="198" t="str">
        <f>VLOOKUP($A242,'IT Accessibility'!$A$13:$E$37,3,0)&amp;""</f>
        <v>No</v>
      </c>
      <c r="D242" s="70" t="str">
        <f>IF(LEFT(VLOOKUP($A242,'IT Accessibility'!$A$13:$E$37,5,0),21)='Auto Responses'!$A$32,'Auto Responses'!$A$33,VLOOKUP($A242,'IT Accessibility'!$A$13:$E$37,4,0))&amp;""</f>
        <v>Accessibility is verified through a documented checklist for each release, but it is not yet formally embedded throughout the complete development lifecycle.</v>
      </c>
      <c r="E242" s="212" t="str">
        <f>VLOOKUP($A242,'IT Accessibility'!$A$13:$E$37,5,0)&amp;""</f>
        <v>Describe any plans to update processes and procedures to better incorporate accessibility.</v>
      </c>
      <c r="F242" s="210"/>
      <c r="G242" s="196" t="str">
        <f>VLOOKUP($A242,Questions!$A$2:$X$333,21,0)&amp;""</f>
        <v>Yes</v>
      </c>
      <c r="H242" s="197"/>
      <c r="I242" s="198" t="str">
        <f>VLOOKUP($A242,Questions!$A$2:$X$333,23,0)&amp;""</f>
        <v>Standard Importance</v>
      </c>
      <c r="J242" s="197"/>
      <c r="K242" s="199" t="b">
        <f>FALSE()</f>
        <v>0</v>
      </c>
      <c r="L242" s="3"/>
    </row>
    <row r="243" spans="1:12" s="189" customFormat="1" ht="27" customHeight="1" x14ac:dyDescent="0.15">
      <c r="A243" s="36" t="str">
        <f>'IT Accessibility'!$A$36</f>
        <v>ITAC-17</v>
      </c>
      <c r="B243" s="37" t="str">
        <f>VLOOKUP($A243,'IT Accessibility'!$A$13:$E$37,2,0)&amp;""</f>
        <v>Can all functions of the application or service be performed using only the keyboard?</v>
      </c>
      <c r="C243" s="198" t="str">
        <f>VLOOKUP($A243,'IT Accessibility'!$A$13:$E$37,3,0)&amp;""</f>
        <v>No</v>
      </c>
      <c r="D243" s="70" t="str">
        <f>IF(LEFT(VLOOKUP($A243,'IT Accessibility'!$A$13:$E$37,5,0),21)='Auto Responses'!$A$32,'Auto Responses'!$A$33,VLOOKUP($A243,'IT Accessibility'!$A$13:$E$37,4,0))&amp;""</f>
        <v>Most core workflows are now keyboard accessible: users can create complete models through menus or context menus, move constructs with the keyboard, reach the toolbar with Tab and Shift+Tab, open projects and files with Enter, and invoke context menus with the Context Menu key or Shift+F10. Minor barriers remain in tables or editable cells, focus order, and individual rarely used functions; therefore, not all functions are currently reachable using only the keyboard.</v>
      </c>
      <c r="E243" s="212" t="str">
        <f>VLOOKUP($A243,'IT Accessibility'!$A$13:$E$37,5,0)&amp;""</f>
        <v>Indicate a plan to test the solution; develop a roadmap for keyboard accessibility or any further context.</v>
      </c>
      <c r="F243" s="210"/>
      <c r="G243" s="196" t="str">
        <f>VLOOKUP($A243,Questions!$A$2:$X$333,21,0)&amp;""</f>
        <v>Yes</v>
      </c>
      <c r="H243" s="197"/>
      <c r="I243" s="198" t="str">
        <f>VLOOKUP($A243,Questions!$A$2:$X$333,23,0)&amp;""</f>
        <v>Standard Importance</v>
      </c>
      <c r="J243" s="197"/>
      <c r="K243" s="199" t="b">
        <f>FALSE()</f>
        <v>0</v>
      </c>
      <c r="L243" s="3"/>
    </row>
    <row r="244" spans="1:12" s="189" customFormat="1" ht="225" customHeight="1" x14ac:dyDescent="0.15">
      <c r="A244" s="36" t="str">
        <f>'IT Accessibility'!$A$37</f>
        <v>ITAC-18</v>
      </c>
      <c r="B244" s="37" t="str">
        <f>VLOOKUP($A244,'IT Accessibility'!$A$13:$E$37,2,0)&amp;""</f>
        <v>Does your product rely on activating a special "accessibility mode," a "lite version," or using an alternate interface (including “overlay” or AI-based alternates)  for accessibility purposes?</v>
      </c>
      <c r="C244" s="198" t="str">
        <f>VLOOKUP($A244,'IT Accessibility'!$A$13:$E$37,3,0)&amp;""</f>
        <v>No</v>
      </c>
      <c r="D244" s="70" t="str">
        <f>IF(LEFT(VLOOKUP($A244,'IT Accessibility'!$A$13:$E$37,5,0),21)='Auto Responses'!$A$32,'Auto Responses'!$A$33,VLOOKUP($A244,'IT Accessibility'!$A$13:$E$37,4,0))&amp;""</f>
        <v>SmartPLS Desktop has a single, unified interface; it does not rely on a separate "accessibility mode," lite version, or overlay.</v>
      </c>
      <c r="E244" s="212"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210"/>
      <c r="G244" s="196" t="str">
        <f>VLOOKUP($A244,Questions!$A$2:$X$333,21,0)&amp;""</f>
        <v>No</v>
      </c>
      <c r="H244" s="197"/>
      <c r="I244" s="198" t="str">
        <f>VLOOKUP($A244,Questions!$A$2:$X$333,23,0)&amp;""</f>
        <v>Standard Importance</v>
      </c>
      <c r="J244" s="197"/>
      <c r="K244" s="211" t="b">
        <f>FALSE()</f>
        <v>0</v>
      </c>
      <c r="L244" s="3"/>
    </row>
    <row r="245" spans="1:12" s="3" customFormat="1" ht="17.25" customHeight="1" x14ac:dyDescent="0.15">
      <c r="A245" s="32" t="str">
        <f>VLOOKUP(LEFT($A246,4),'Auto Responses'!$N$4:$O$38,2,0)&amp;""</f>
        <v xml:space="preserve"> Consulting Services</v>
      </c>
      <c r="B245" s="41"/>
      <c r="C245" s="42"/>
      <c r="D245" s="42"/>
      <c r="E245" s="203"/>
      <c r="F245" s="191" t="s">
        <v>468</v>
      </c>
      <c r="G245" s="200" t="s">
        <v>463</v>
      </c>
      <c r="H245" s="200" t="s">
        <v>464</v>
      </c>
      <c r="I245" s="200" t="s">
        <v>465</v>
      </c>
      <c r="J245" s="200" t="s">
        <v>466</v>
      </c>
      <c r="K245" s="200" t="s">
        <v>467</v>
      </c>
    </row>
    <row r="246" spans="1:12" s="189" customFormat="1" ht="15" customHeight="1" x14ac:dyDescent="0.15">
      <c r="A246" s="36" t="str">
        <f>'Case-Specific'!$A$23</f>
        <v>CONS-01</v>
      </c>
      <c r="B246" s="37" t="str">
        <f>VLOOKUP($A246,'Case-Specific'!$A$13:$E$85,2,0)&amp;""</f>
        <v>Will the consultant require access to the institution's network resources?*</v>
      </c>
      <c r="C246" s="198" t="str">
        <f>VLOOKUP($A246,'Case-Specific'!$A$13:$E$85,3,0)&amp;""</f>
        <v>N/A</v>
      </c>
      <c r="D246" s="70" t="str">
        <f>IF(LEFT(VLOOKUP($A246,'Case-Specific'!$A$13:$E$85,5,0),21)='Auto Responses'!$A$32,'Auto Responses'!$A$33,VLOOKUP($A246,'Case-Specific'!$A$13:$E$85,4,0))&amp;""</f>
        <v>This question does not apply.</v>
      </c>
      <c r="E246" s="204" t="str">
        <f>VLOOKUP($A246,'Case-Specific'!$A$13:$E$85,5,0)&amp;""</f>
        <v>Based on the response to REQU-03 on the "START HERE" tab, this question does not apply to this product or service.</v>
      </c>
      <c r="F246" s="210"/>
      <c r="G246" s="196" t="str">
        <f>VLOOKUP($A246,Questions!$A$2:$X$333,21,0)&amp;""</f>
        <v>No</v>
      </c>
      <c r="H246" s="197"/>
      <c r="I246" s="198" t="str">
        <f>VLOOKUP($A246,Questions!$A$2:$X$333,23,0)&amp;""</f>
        <v>Critical Importance</v>
      </c>
      <c r="J246" s="197"/>
      <c r="K246" s="199" t="b">
        <f>FALSE()</f>
        <v>0</v>
      </c>
      <c r="L246" s="3"/>
    </row>
    <row r="247" spans="1:12" s="189" customFormat="1" ht="27" customHeight="1" x14ac:dyDescent="0.15">
      <c r="A247" s="36" t="str">
        <f>'Case-Specific'!$A$24</f>
        <v>CONS-02</v>
      </c>
      <c r="B247" s="37" t="str">
        <f>VLOOKUP($A247,'Case-Specific'!$A$13:$E$85,2,0)&amp;""</f>
        <v>Has the consultant received training on (sensitive, HIPAA, PCI, etc.) data handling?*</v>
      </c>
      <c r="C247" s="198" t="str">
        <f>VLOOKUP($A247,'Case-Specific'!$A$13:$E$85,3,0)&amp;""</f>
        <v>N/A</v>
      </c>
      <c r="D247" s="70" t="str">
        <f>IF(LEFT(VLOOKUP($A247,'Case-Specific'!$A$13:$E$85,5,0),21)='Auto Responses'!$A$32,'Auto Responses'!$A$33,VLOOKUP($A247,'Case-Specific'!$A$13:$E$85,4,0))&amp;""</f>
        <v>This question does not apply.</v>
      </c>
      <c r="E247" s="204" t="str">
        <f>VLOOKUP($A247,'Case-Specific'!$A$13:$E$85,5,0)&amp;""</f>
        <v>Based on the response to REQU-03 on the "START HERE" tab, this question does not apply to this product or service.</v>
      </c>
      <c r="F247" s="210"/>
      <c r="G247" s="196" t="str">
        <f>VLOOKUP($A247,Questions!$A$2:$X$333,21,0)&amp;""</f>
        <v>Yes</v>
      </c>
      <c r="H247" s="197"/>
      <c r="I247" s="198" t="str">
        <f>VLOOKUP($A247,Questions!$A$2:$X$333,23,0)&amp;""</f>
        <v>Critical Importance</v>
      </c>
      <c r="J247" s="197"/>
      <c r="K247" s="199" t="b">
        <f>FALSE()</f>
        <v>0</v>
      </c>
      <c r="L247" s="3"/>
    </row>
    <row r="248" spans="1:12" s="189" customFormat="1" ht="15" customHeight="1" x14ac:dyDescent="0.15">
      <c r="A248" s="36" t="str">
        <f>'Case-Specific'!$A$25</f>
        <v>CONS-03</v>
      </c>
      <c r="B248" s="37" t="str">
        <f>VLOOKUP($A248,'Case-Specific'!$A$13:$E$85,2,0)&amp;""</f>
        <v>Is the data encrypted (at rest) while in the consultant's possession?*</v>
      </c>
      <c r="C248" s="198" t="str">
        <f>VLOOKUP($A248,'Case-Specific'!$A$13:$E$85,3,0)&amp;""</f>
        <v>N/A</v>
      </c>
      <c r="D248" s="70" t="str">
        <f>IF(LEFT(VLOOKUP($A248,'Case-Specific'!$A$13:$E$85,5,0),21)='Auto Responses'!$A$32,'Auto Responses'!$A$33,VLOOKUP($A248,'Case-Specific'!$A$13:$E$85,4,0))&amp;""</f>
        <v>This question does not apply.</v>
      </c>
      <c r="E248" s="204" t="str">
        <f>VLOOKUP($A248,'Case-Specific'!$A$13:$E$85,5,0)&amp;""</f>
        <v>Based on the response to REQU-03 on the "START HERE" tab, this question does not apply to this product or service.</v>
      </c>
      <c r="F248" s="210"/>
      <c r="G248" s="196" t="str">
        <f>VLOOKUP($A248,Questions!$A$2:$X$333,21,0)&amp;""</f>
        <v>Yes</v>
      </c>
      <c r="H248" s="197"/>
      <c r="I248" s="198" t="str">
        <f>VLOOKUP($A248,Questions!$A$2:$X$333,23,0)&amp;""</f>
        <v>Critical Importance</v>
      </c>
      <c r="J248" s="197"/>
      <c r="K248" s="199" t="b">
        <f>FALSE()</f>
        <v>0</v>
      </c>
      <c r="L248" s="3"/>
    </row>
    <row r="249" spans="1:12" s="189" customFormat="1" ht="15" customHeight="1" x14ac:dyDescent="0.15">
      <c r="A249" s="36" t="str">
        <f>'Case-Specific'!A26</f>
        <v>CONS-04</v>
      </c>
      <c r="B249" s="37" t="str">
        <f>VLOOKUP($A249,'Case-Specific'!$A$13:$E$85,2,0)&amp;""</f>
        <v>Can access be restricted based on source IP address?*</v>
      </c>
      <c r="C249" s="198" t="str">
        <f>VLOOKUP($A249,'Case-Specific'!$A$13:$E$85,3,0)&amp;""</f>
        <v>N/A</v>
      </c>
      <c r="D249" s="70" t="str">
        <f>IF(LEFT(VLOOKUP($A249,'Case-Specific'!$A$13:$E$85,5,0),21)='Auto Responses'!$A$32,'Auto Responses'!$A$33,VLOOKUP($A249,'Case-Specific'!$A$13:$E$85,4,0))&amp;""</f>
        <v>This question does not apply.</v>
      </c>
      <c r="E249" s="204" t="str">
        <f>VLOOKUP($A249,'Case-Specific'!$A$13:$E$85,5,0)&amp;""</f>
        <v>Based on the response to REQU-03 on the "START HERE" tab, this question does not apply to this product or service.</v>
      </c>
      <c r="F249" s="210"/>
      <c r="G249" s="196" t="str">
        <f>VLOOKUP($A249,Questions!$A$2:$X$333,21,0)&amp;""</f>
        <v>Yes</v>
      </c>
      <c r="H249" s="197"/>
      <c r="I249" s="198" t="str">
        <f>VLOOKUP($A249,Questions!$A$2:$X$333,23,0)&amp;""</f>
        <v>Critical Importance</v>
      </c>
      <c r="J249" s="197"/>
      <c r="K249" s="199" t="b">
        <f>FALSE()</f>
        <v>0</v>
      </c>
      <c r="L249" s="3"/>
    </row>
    <row r="250" spans="1:12" s="189" customFormat="1" ht="15" customHeight="1" x14ac:dyDescent="0.15">
      <c r="A250" s="36" t="str">
        <f>'Case-Specific'!A27</f>
        <v>CONS-05</v>
      </c>
      <c r="B250" s="37" t="str">
        <f>VLOOKUP($A250,'Case-Specific'!$A$13:$E$85,2,0)&amp;""</f>
        <v>Will the consulting take place on-premises?</v>
      </c>
      <c r="C250" s="198" t="str">
        <f>VLOOKUP($A250,'Case-Specific'!$A$13:$E$85,3,0)&amp;""</f>
        <v>N/A</v>
      </c>
      <c r="D250" s="70" t="str">
        <f>IF(LEFT(VLOOKUP($A250,'Case-Specific'!$A$13:$E$85,5,0),21)='Auto Responses'!$A$32,'Auto Responses'!$A$33,VLOOKUP($A250,'Case-Specific'!$A$13:$E$85,4,0))&amp;""</f>
        <v>This question does not apply.</v>
      </c>
      <c r="E250" s="204" t="str">
        <f>VLOOKUP($A250,'Case-Specific'!$A$13:$E$85,5,0)&amp;""</f>
        <v>Based on the response to REQU-03 on the "START HERE" tab, this question does not apply to this product or service.</v>
      </c>
      <c r="F250" s="210"/>
      <c r="G250" s="196" t="str">
        <f>VLOOKUP($A250,Questions!$A$2:$X$333,21,0)&amp;""</f>
        <v>No</v>
      </c>
      <c r="H250" s="197"/>
      <c r="I250" s="198" t="str">
        <f>VLOOKUP($A250,Questions!$A$2:$X$333,23,0)&amp;""</f>
        <v>Standard Importance</v>
      </c>
      <c r="J250" s="197"/>
      <c r="K250" s="199" t="b">
        <f>FALSE()</f>
        <v>0</v>
      </c>
      <c r="L250" s="3"/>
    </row>
    <row r="251" spans="1:12" s="189" customFormat="1" ht="27" customHeight="1" x14ac:dyDescent="0.15">
      <c r="A251" s="36" t="str">
        <f>'Case-Specific'!A28</f>
        <v>CONS-06</v>
      </c>
      <c r="B251" s="37" t="str">
        <f>VLOOKUP($A251,'Case-Specific'!$A$13:$E$85,2,0)&amp;""</f>
        <v>Will the consultant require access to hardware in the institution's data centers?</v>
      </c>
      <c r="C251" s="198" t="str">
        <f>VLOOKUP($A251,'Case-Specific'!$A$13:$E$85,3,0)&amp;""</f>
        <v>N/A</v>
      </c>
      <c r="D251" s="70" t="str">
        <f>IF(LEFT(VLOOKUP($A251,'Case-Specific'!$A$13:$E$85,5,0),21)='Auto Responses'!$A$32,'Auto Responses'!$A$33,VLOOKUP($A251,'Case-Specific'!$A$13:$E$85,4,0))&amp;""</f>
        <v>This question does not apply.</v>
      </c>
      <c r="E251" s="204" t="str">
        <f>VLOOKUP($A251,'Case-Specific'!$A$13:$E$85,5,0)&amp;""</f>
        <v>Based on the response to REQU-03 on the "START HERE" tab, this question does not apply to this product or service.</v>
      </c>
      <c r="F251" s="210"/>
      <c r="G251" s="196" t="str">
        <f>VLOOKUP($A251,Questions!$A$2:$X$333,21,0)&amp;""</f>
        <v>No</v>
      </c>
      <c r="H251" s="197"/>
      <c r="I251" s="198" t="str">
        <f>VLOOKUP($A251,Questions!$A$2:$X$333,23,0)&amp;""</f>
        <v>Standard Importance</v>
      </c>
      <c r="J251" s="197"/>
      <c r="K251" s="199" t="b">
        <f>FALSE()</f>
        <v>0</v>
      </c>
      <c r="L251" s="3"/>
    </row>
    <row r="252" spans="1:12" s="189" customFormat="1" ht="27" customHeight="1" x14ac:dyDescent="0.15">
      <c r="A252" s="36" t="str">
        <f>'Case-Specific'!A29</f>
        <v>CONS-07</v>
      </c>
      <c r="B252" s="37" t="str">
        <f>VLOOKUP($A252,'Case-Specific'!$A$13:$E$85,2,0)&amp;""</f>
        <v>Will the consultant require an account within the institution's domain (@*.edu)?</v>
      </c>
      <c r="C252" s="198" t="str">
        <f>VLOOKUP($A252,'Case-Specific'!$A$13:$E$85,3,0)&amp;""</f>
        <v>N/A</v>
      </c>
      <c r="D252" s="70" t="str">
        <f>IF(LEFT(VLOOKUP($A252,'Case-Specific'!$A$13:$E$85,5,0),21)='Auto Responses'!$A$32,'Auto Responses'!$A$33,VLOOKUP($A252,'Case-Specific'!$A$13:$E$85,4,0))&amp;""</f>
        <v>This question does not apply.</v>
      </c>
      <c r="E252" s="204" t="str">
        <f>VLOOKUP($A252,'Case-Specific'!$A$13:$E$85,5,0)&amp;""</f>
        <v>Based on the response to REQU-03 on the "START HERE" tab, this question does not apply to this product or service.</v>
      </c>
      <c r="F252" s="210"/>
      <c r="G252" s="196" t="str">
        <f>VLOOKUP($A252,Questions!$A$2:$X$333,21,0)&amp;""</f>
        <v>No</v>
      </c>
      <c r="H252" s="197"/>
      <c r="I252" s="198" t="str">
        <f>VLOOKUP($A252,Questions!$A$2:$X$333,23,0)&amp;""</f>
        <v>Standard Importance</v>
      </c>
      <c r="J252" s="197"/>
      <c r="K252" s="199" t="b">
        <f>FALSE()</f>
        <v>0</v>
      </c>
      <c r="L252" s="3"/>
    </row>
    <row r="253" spans="1:12" s="189" customFormat="1" ht="15" customHeight="1" x14ac:dyDescent="0.15">
      <c r="A253" s="36" t="str">
        <f>'Case-Specific'!A30</f>
        <v>CONS-08</v>
      </c>
      <c r="B253" s="37" t="str">
        <f>VLOOKUP($A253,'Case-Specific'!$A$13:$E$85,2,0)&amp;""</f>
        <v>Will any data be transferred to the consultant's possession?</v>
      </c>
      <c r="C253" s="198" t="str">
        <f>VLOOKUP($A253,'Case-Specific'!$A$13:$E$85,3,0)&amp;""</f>
        <v>N/A</v>
      </c>
      <c r="D253" s="70" t="str">
        <f>IF(LEFT(VLOOKUP($A253,'Case-Specific'!$A$13:$E$85,5,0),21)='Auto Responses'!$A$32,'Auto Responses'!$A$33,VLOOKUP($A253,'Case-Specific'!$A$13:$E$85,4,0))&amp;""</f>
        <v>This question does not apply.</v>
      </c>
      <c r="E253" s="204" t="str">
        <f>VLOOKUP($A253,'Case-Specific'!$A$13:$E$85,5,0)&amp;""</f>
        <v>Based on the response to REQU-03 on the "START HERE" tab, this question does not apply to this product or service.</v>
      </c>
      <c r="F253" s="210"/>
      <c r="G253" s="196" t="str">
        <f>VLOOKUP($A253,Questions!$A$2:$X$333,21,0)&amp;""</f>
        <v>No</v>
      </c>
      <c r="H253" s="197"/>
      <c r="I253" s="198" t="str">
        <f>VLOOKUP($A253,Questions!$A$2:$X$333,23,0)&amp;""</f>
        <v>Standard Importance</v>
      </c>
      <c r="J253" s="197"/>
      <c r="K253" s="199" t="b">
        <f>FALSE()</f>
        <v>0</v>
      </c>
      <c r="L253" s="3"/>
    </row>
    <row r="254" spans="1:12" s="189" customFormat="1" ht="27" customHeight="1" x14ac:dyDescent="0.15">
      <c r="A254" s="36" t="str">
        <f>'Case-Specific'!A31</f>
        <v>CONS-09</v>
      </c>
      <c r="B254" s="37" t="str">
        <f>VLOOKUP($A254,'Case-Specific'!$A$13:$E$85,2,0)&amp;""</f>
        <v>Will the consultant need remote access to the institution's network or systems?</v>
      </c>
      <c r="C254" s="198" t="str">
        <f>VLOOKUP($A254,'Case-Specific'!$A$13:$E$85,3,0)&amp;""</f>
        <v>N/A</v>
      </c>
      <c r="D254" s="70" t="str">
        <f>IF(LEFT(VLOOKUP($A254,'Case-Specific'!$A$13:$E$85,5,0),21)='Auto Responses'!$A$32,'Auto Responses'!$A$33,VLOOKUP($A254,'Case-Specific'!$A$13:$E$85,4,0))&amp;""</f>
        <v>This question does not apply.</v>
      </c>
      <c r="E254" s="204" t="str">
        <f>VLOOKUP($A254,'Case-Specific'!$A$13:$E$85,5,0)&amp;""</f>
        <v>Based on the response to REQU-03 on the "START HERE" tab, this question does not apply to this product or service.</v>
      </c>
      <c r="F254" s="210"/>
      <c r="G254" s="196" t="str">
        <f>VLOOKUP($A254,Questions!$A$2:$X$333,21,0)&amp;""</f>
        <v>No</v>
      </c>
      <c r="H254" s="197"/>
      <c r="I254" s="198" t="str">
        <f>VLOOKUP($A254,Questions!$A$2:$X$333,23,0)&amp;""</f>
        <v>Standard Importance</v>
      </c>
      <c r="J254" s="197"/>
      <c r="K254" s="199" t="b">
        <f>FALSE()</f>
        <v>0</v>
      </c>
      <c r="L254" s="3"/>
    </row>
    <row r="255" spans="1:12" s="3" customFormat="1" ht="17.25" customHeight="1" x14ac:dyDescent="0.15">
      <c r="A255" s="32" t="str">
        <f>VLOOKUP(LEFT($A256,4),'Auto Responses'!$N$4:$O$38,2,0)&amp;""</f>
        <v xml:space="preserve">HIPAA Compliance </v>
      </c>
      <c r="B255" s="41"/>
      <c r="C255" s="42"/>
      <c r="D255" s="42"/>
      <c r="E255" s="203"/>
      <c r="F255" s="191" t="s">
        <v>468</v>
      </c>
      <c r="G255" s="200" t="s">
        <v>463</v>
      </c>
      <c r="H255" s="200" t="s">
        <v>464</v>
      </c>
      <c r="I255" s="200" t="s">
        <v>465</v>
      </c>
      <c r="J255" s="200" t="s">
        <v>466</v>
      </c>
      <c r="K255" s="200" t="s">
        <v>467</v>
      </c>
    </row>
    <row r="256" spans="1:12" s="189" customFormat="1" ht="75" customHeight="1" x14ac:dyDescent="0.15">
      <c r="A256" s="36" t="str">
        <f>'Case-Specific'!A33</f>
        <v>HIPA-01</v>
      </c>
      <c r="B256" s="37" t="str">
        <f>VLOOKUP($A256,'Case-Specific'!$A$13:$E$85,2,0)&amp;""</f>
        <v>Do your workforce members receive regular training related to the Health Insurance Portability and Accountability Act (HIPAA) Privacy and Security Rules and the HITECH Act?*</v>
      </c>
      <c r="C256" s="198" t="str">
        <f>VLOOKUP($A256,'Case-Specific'!$A$13:$E$85,3,0)&amp;""</f>
        <v>N/A</v>
      </c>
      <c r="D256" s="70" t="str">
        <f>IF(LEFT(VLOOKUP($A256,'Case-Specific'!$A$13:$E$85,5,0),21)='Auto Responses'!$A$32,'Auto Responses'!$A$33,VLOOKUP($A256,'Case-Specific'!$A$13:$E$85,4,0))&amp;""</f>
        <v>This question does not apply.</v>
      </c>
      <c r="E256" s="204" t="str">
        <f>VLOOKUP($A256,'Case-Specific'!$A$13:$E$85,5,0)&amp;""</f>
        <v>Based on the response to REQU-05 on the "START HERE" tab, this question does not apply to this product or service.</v>
      </c>
      <c r="F256" s="210"/>
      <c r="G256" s="196" t="str">
        <f>VLOOKUP($A256,Questions!$A$2:$X$333,21,0)&amp;""</f>
        <v>Yes</v>
      </c>
      <c r="H256" s="197"/>
      <c r="I256" s="198" t="str">
        <f>VLOOKUP($A256,Questions!$A$2:$X$333,23,0)&amp;""</f>
        <v>Critical Importance</v>
      </c>
      <c r="J256" s="197"/>
      <c r="K256" s="199" t="b">
        <f>FALSE()</f>
        <v>0</v>
      </c>
      <c r="L256" s="3"/>
    </row>
    <row r="257" spans="1:12" s="189" customFormat="1" ht="75" customHeight="1" x14ac:dyDescent="0.15">
      <c r="A257" s="36" t="str">
        <f>'Case-Specific'!A34</f>
        <v>HIPA-02</v>
      </c>
      <c r="B257" s="37" t="str">
        <f>VLOOKUP($A257,'Case-Specific'!$A$13:$E$85,2,0)&amp;""</f>
        <v>Have you identified areas of risk?*</v>
      </c>
      <c r="C257" s="198" t="str">
        <f>VLOOKUP($A257,'Case-Specific'!$A$13:$E$85,3,0)&amp;""</f>
        <v>N/A</v>
      </c>
      <c r="D257" s="70" t="str">
        <f>IF(LEFT(VLOOKUP($A257,'Case-Specific'!$A$13:$E$85,5,0),21)='Auto Responses'!$A$32,'Auto Responses'!$A$33,VLOOKUP($A257,'Case-Specific'!$A$13:$E$85,4,0))&amp;""</f>
        <v>This question does not apply.</v>
      </c>
      <c r="E257" s="204" t="str">
        <f>VLOOKUP($A257,'Case-Specific'!$A$13:$E$85,5,0)&amp;""</f>
        <v>Based on the response to REQU-05 on the "START HERE" tab, this question does not apply to this product or service.</v>
      </c>
      <c r="F257" s="210"/>
      <c r="G257" s="196" t="str">
        <f>VLOOKUP($A257,Questions!$A$2:$X$333,21,0)&amp;""</f>
        <v>Yes</v>
      </c>
      <c r="H257" s="197"/>
      <c r="I257" s="198" t="str">
        <f>VLOOKUP($A257,Questions!$A$2:$X$333,23,0)&amp;""</f>
        <v>Critical Importance</v>
      </c>
      <c r="J257" s="197"/>
      <c r="K257" s="199" t="b">
        <f>FALSE()</f>
        <v>0</v>
      </c>
      <c r="L257" s="3"/>
    </row>
    <row r="258" spans="1:12" s="189" customFormat="1" ht="75" customHeight="1" x14ac:dyDescent="0.15">
      <c r="A258" s="36" t="str">
        <f>'Case-Specific'!A35</f>
        <v>HIPA-03</v>
      </c>
      <c r="B258" s="37" t="str">
        <f>VLOOKUP($A258,'Case-Specific'!$A$13:$E$85,2,0)&amp;""</f>
        <v>Have the relevant policies/plans been tested?*</v>
      </c>
      <c r="C258" s="198" t="str">
        <f>VLOOKUP($A258,'Case-Specific'!$A$13:$E$85,3,0)&amp;""</f>
        <v>N/A</v>
      </c>
      <c r="D258" s="70" t="str">
        <f>IF(LEFT(VLOOKUP($A258,'Case-Specific'!$A$13:$E$85,5,0),21)='Auto Responses'!$A$32,'Auto Responses'!$A$33,VLOOKUP($A258,'Case-Specific'!$A$13:$E$85,4,0))&amp;""</f>
        <v>This question does not apply.</v>
      </c>
      <c r="E258" s="204" t="str">
        <f>VLOOKUP($A258,'Case-Specific'!$A$13:$E$85,5,0)&amp;""</f>
        <v>Based on the response to REQU-05 on the "START HERE" tab, this question does not apply to this product or service.</v>
      </c>
      <c r="F258" s="210"/>
      <c r="G258" s="196" t="str">
        <f>VLOOKUP($A258,Questions!$A$2:$X$333,21,0)&amp;""</f>
        <v>Yes</v>
      </c>
      <c r="H258" s="197"/>
      <c r="I258" s="198" t="str">
        <f>VLOOKUP($A258,Questions!$A$2:$X$333,23,0)&amp;""</f>
        <v>Critical Importance</v>
      </c>
      <c r="J258" s="197"/>
      <c r="K258" s="199" t="b">
        <f>FALSE()</f>
        <v>0</v>
      </c>
      <c r="L258" s="3"/>
    </row>
    <row r="259" spans="1:12" s="189" customFormat="1" ht="75" customHeight="1" x14ac:dyDescent="0.15">
      <c r="A259" s="36" t="str">
        <f>'Case-Specific'!A36</f>
        <v>HIPA-04</v>
      </c>
      <c r="B259" s="37" t="str">
        <f>VLOOKUP($A259,'Case-Specific'!$A$13:$E$85,2,0)&amp;""</f>
        <v>Have you entered into a Business Associate Agreements with all subcontractors who may have access to protected health information (PHI)?*</v>
      </c>
      <c r="C259" s="198" t="str">
        <f>VLOOKUP($A259,'Case-Specific'!$A$13:$E$85,3,0)&amp;""</f>
        <v>N/A</v>
      </c>
      <c r="D259" s="70" t="str">
        <f>IF(LEFT(VLOOKUP($A259,'Case-Specific'!$A$13:$E$85,5,0),21)='Auto Responses'!$A$32,'Auto Responses'!$A$33,VLOOKUP($A259,'Case-Specific'!$A$13:$E$85,4,0))&amp;""</f>
        <v>This question does not apply.</v>
      </c>
      <c r="E259" s="204" t="str">
        <f>VLOOKUP($A259,'Case-Specific'!$A$13:$E$85,5,0)&amp;""</f>
        <v>Based on the response to REQU-05 on the "START HERE" tab, this question does not apply to this product or service.</v>
      </c>
      <c r="F259" s="210"/>
      <c r="G259" s="196" t="str">
        <f>VLOOKUP($A259,Questions!$A$2:$X$333,21,0)&amp;""</f>
        <v>Yes</v>
      </c>
      <c r="H259" s="197"/>
      <c r="I259" s="198" t="str">
        <f>VLOOKUP($A259,Questions!$A$2:$X$333,23,0)&amp;""</f>
        <v>Critical Importance</v>
      </c>
      <c r="J259" s="197"/>
      <c r="K259" s="199" t="b">
        <f>FALSE()</f>
        <v>0</v>
      </c>
      <c r="L259" s="3"/>
    </row>
    <row r="260" spans="1:12" s="189" customFormat="1" ht="75" customHeight="1" x14ac:dyDescent="0.15">
      <c r="A260" s="36" t="str">
        <f>'Case-Specific'!A37</f>
        <v>HIPA-05</v>
      </c>
      <c r="B260" s="37" t="str">
        <f>VLOOKUP($A260,'Case-Specific'!$A$13:$E$85,2,0)&amp;""</f>
        <v>Do you monitor or receive information regarding changes in HIPAA regulations?</v>
      </c>
      <c r="C260" s="198" t="str">
        <f>VLOOKUP($A260,'Case-Specific'!$A$13:$E$85,3,0)&amp;""</f>
        <v>N/A</v>
      </c>
      <c r="D260" s="70" t="str">
        <f>IF(LEFT(VLOOKUP($A260,'Case-Specific'!$A$13:$E$85,5,0),21)='Auto Responses'!$A$32,'Auto Responses'!$A$33,VLOOKUP($A260,'Case-Specific'!$A$13:$E$85,4,0))&amp;""</f>
        <v>This question does not apply.</v>
      </c>
      <c r="E260" s="204" t="str">
        <f>VLOOKUP($A260,'Case-Specific'!$A$13:$E$85,5,0)&amp;""</f>
        <v>Based on the response to REQU-05 on the "START HERE" tab, this question does not apply to this product or service.</v>
      </c>
      <c r="F260" s="210"/>
      <c r="G260" s="196" t="str">
        <f>VLOOKUP($A260,Questions!$A$2:$X$333,21,0)&amp;""</f>
        <v>Yes</v>
      </c>
      <c r="H260" s="197"/>
      <c r="I260" s="198" t="str">
        <f>VLOOKUP($A260,Questions!$A$2:$X$333,23,0)&amp;""</f>
        <v>Standard Importance</v>
      </c>
      <c r="J260" s="197"/>
      <c r="K260" s="199" t="b">
        <f>FALSE()</f>
        <v>0</v>
      </c>
      <c r="L260" s="3"/>
    </row>
    <row r="261" spans="1:12" s="189" customFormat="1" ht="75" customHeight="1" x14ac:dyDescent="0.15">
      <c r="A261" s="36" t="str">
        <f>'Case-Specific'!A38</f>
        <v>HIPA-06</v>
      </c>
      <c r="B261" s="37" t="str">
        <f>VLOOKUP($A261,'Case-Specific'!$A$13:$E$85,2,0)&amp;""</f>
        <v>Has your organization designated HIPAA Privacy and Security officers as required by the rules?</v>
      </c>
      <c r="C261" s="198" t="str">
        <f>VLOOKUP($A261,'Case-Specific'!$A$13:$E$85,3,0)&amp;""</f>
        <v>N/A</v>
      </c>
      <c r="D261" s="70" t="str">
        <f>IF(LEFT(VLOOKUP($A261,'Case-Specific'!$A$13:$E$85,5,0),21)='Auto Responses'!$A$32,'Auto Responses'!$A$33,VLOOKUP($A261,'Case-Specific'!$A$13:$E$85,4,0))&amp;""</f>
        <v>This question does not apply.</v>
      </c>
      <c r="E261" s="204" t="str">
        <f>VLOOKUP($A261,'Case-Specific'!$A$13:$E$85,5,0)&amp;""</f>
        <v>Based on the response to REQU-05 on the "START HERE" tab, this question does not apply to this product or service.</v>
      </c>
      <c r="F261" s="210"/>
      <c r="G261" s="196" t="str">
        <f>VLOOKUP($A261,Questions!$A$2:$X$333,21,0)&amp;""</f>
        <v>Yes</v>
      </c>
      <c r="H261" s="197"/>
      <c r="I261" s="198" t="str">
        <f>VLOOKUP($A261,Questions!$A$2:$X$333,23,0)&amp;""</f>
        <v>Standard Importance</v>
      </c>
      <c r="J261" s="197"/>
      <c r="K261" s="199" t="b">
        <f>FALSE()</f>
        <v>0</v>
      </c>
      <c r="L261" s="3"/>
    </row>
    <row r="262" spans="1:12" s="189" customFormat="1" ht="75" customHeight="1" x14ac:dyDescent="0.15">
      <c r="A262" s="36" t="str">
        <f>'Case-Specific'!A39</f>
        <v>HIPA-07</v>
      </c>
      <c r="B262" s="37" t="str">
        <f>VLOOKUP($A262,'Case-Specific'!$A$13:$E$85,2,0)&amp;""</f>
        <v>Do you comply with the requirements of the Health Information Technology for Economic and Clinical Health Act (HITECH)?</v>
      </c>
      <c r="C262" s="198" t="str">
        <f>VLOOKUP($A262,'Case-Specific'!$A$13:$E$85,3,0)&amp;""</f>
        <v>N/A</v>
      </c>
      <c r="D262" s="70" t="str">
        <f>IF(LEFT(VLOOKUP($A262,'Case-Specific'!$A$13:$E$85,5,0),21)='Auto Responses'!$A$32,'Auto Responses'!$A$33,VLOOKUP($A262,'Case-Specific'!$A$13:$E$85,4,0))&amp;""</f>
        <v>This question does not apply.</v>
      </c>
      <c r="E262" s="204" t="str">
        <f>VLOOKUP($A262,'Case-Specific'!$A$13:$E$85,5,0)&amp;""</f>
        <v>Based on the response to REQU-05 on the "START HERE" tab, this question does not apply to this product or service.</v>
      </c>
      <c r="F262" s="210"/>
      <c r="G262" s="196" t="str">
        <f>VLOOKUP($A262,Questions!$A$2:$X$333,21,0)&amp;""</f>
        <v>Yes</v>
      </c>
      <c r="H262" s="197"/>
      <c r="I262" s="198" t="str">
        <f>VLOOKUP($A262,Questions!$A$2:$X$333,23,0)&amp;""</f>
        <v>Standard Importance</v>
      </c>
      <c r="J262" s="197"/>
      <c r="K262" s="199" t="b">
        <f>FALSE()</f>
        <v>0</v>
      </c>
      <c r="L262" s="3"/>
    </row>
    <row r="263" spans="1:12" s="189" customFormat="1" ht="75" customHeight="1" x14ac:dyDescent="0.15">
      <c r="A263" s="36" t="str">
        <f>'Case-Specific'!A40</f>
        <v>HIPA-08</v>
      </c>
      <c r="B263" s="37" t="str">
        <f>VLOOKUP($A263,'Case-Specific'!$A$13:$E$85,2,0)&amp;""</f>
        <v>Have you conducted a risk analysis as required under the HIPAA Security Rule?</v>
      </c>
      <c r="C263" s="198" t="str">
        <f>VLOOKUP($A263,'Case-Specific'!$A$13:$E$85,3,0)&amp;""</f>
        <v>N/A</v>
      </c>
      <c r="D263" s="70" t="str">
        <f>IF(LEFT(VLOOKUP($A263,'Case-Specific'!$A$13:$E$85,5,0),21)='Auto Responses'!$A$32,'Auto Responses'!$A$33,VLOOKUP($A263,'Case-Specific'!$A$13:$E$85,4,0))&amp;""</f>
        <v>This question does not apply.</v>
      </c>
      <c r="E263" s="204" t="str">
        <f>VLOOKUP($A263,'Case-Specific'!$A$13:$E$85,5,0)&amp;""</f>
        <v>Based on the response to REQU-05 on the "START HERE" tab, this question does not apply to this product or service.</v>
      </c>
      <c r="F263" s="210"/>
      <c r="G263" s="196" t="str">
        <f>VLOOKUP($A263,Questions!$A$2:$X$333,21,0)&amp;""</f>
        <v>Yes</v>
      </c>
      <c r="H263" s="197"/>
      <c r="I263" s="198" t="str">
        <f>VLOOKUP($A263,Questions!$A$2:$X$333,23,0)&amp;""</f>
        <v>Standard Importance</v>
      </c>
      <c r="J263" s="197"/>
      <c r="K263" s="199" t="b">
        <f>FALSE()</f>
        <v>0</v>
      </c>
      <c r="L263" s="3"/>
    </row>
    <row r="264" spans="1:12" s="189" customFormat="1" ht="75" customHeight="1" x14ac:dyDescent="0.15">
      <c r="A264" s="36" t="str">
        <f>'Case-Specific'!A41</f>
        <v>HIPA-09</v>
      </c>
      <c r="B264" s="37" t="str">
        <f>VLOOKUP($A264,'Case-Specific'!$A$13:$E$85,2,0)&amp;""</f>
        <v>Have you taken actions to mitigate the identified risks?</v>
      </c>
      <c r="C264" s="198" t="str">
        <f>VLOOKUP($A264,'Case-Specific'!$A$13:$E$85,3,0)&amp;""</f>
        <v>N/A</v>
      </c>
      <c r="D264" s="70" t="str">
        <f>IF(LEFT(VLOOKUP($A264,'Case-Specific'!$A$13:$E$85,5,0),21)='Auto Responses'!$A$32,'Auto Responses'!$A$33,VLOOKUP($A264,'Case-Specific'!$A$13:$E$85,4,0))&amp;""</f>
        <v>This question does not apply.</v>
      </c>
      <c r="E264" s="204" t="str">
        <f>VLOOKUP($A264,'Case-Specific'!$A$13:$E$85,5,0)&amp;""</f>
        <v>Based on the response to REQU-05 on the "START HERE" tab, this question does not apply to this product or service.</v>
      </c>
      <c r="F264" s="210"/>
      <c r="G264" s="196" t="str">
        <f>VLOOKUP($A264,Questions!$A$2:$X$333,21,0)&amp;""</f>
        <v>Yes</v>
      </c>
      <c r="H264" s="197"/>
      <c r="I264" s="198" t="str">
        <f>VLOOKUP($A264,Questions!$A$2:$X$333,23,0)&amp;""</f>
        <v>Standard Importance</v>
      </c>
      <c r="J264" s="197"/>
      <c r="K264" s="199" t="b">
        <f>FALSE()</f>
        <v>0</v>
      </c>
      <c r="L264" s="3"/>
    </row>
    <row r="265" spans="1:12" s="189" customFormat="1" ht="75" customHeight="1" x14ac:dyDescent="0.15">
      <c r="A265" s="36" t="str">
        <f>'Case-Specific'!A42</f>
        <v>HIPA-10</v>
      </c>
      <c r="B265" s="37" t="str">
        <f>VLOOKUP($A265,'Case-Specific'!$A$13:$E$85,2,0)&amp;""</f>
        <v>Does your application require user and system administrator password changes at a frequency no greater than 90 days?</v>
      </c>
      <c r="C265" s="198" t="str">
        <f>VLOOKUP($A265,'Case-Specific'!$A$13:$E$85,3,0)&amp;""</f>
        <v>N/A</v>
      </c>
      <c r="D265" s="70" t="str">
        <f>IF(LEFT(VLOOKUP($A265,'Case-Specific'!$A$13:$E$85,5,0),21)='Auto Responses'!$A$32,'Auto Responses'!$A$33,VLOOKUP($A265,'Case-Specific'!$A$13:$E$85,4,0))&amp;""</f>
        <v>This question does not apply.</v>
      </c>
      <c r="E265" s="204" t="str">
        <f>VLOOKUP($A265,'Case-Specific'!$A$13:$E$85,5,0)&amp;""</f>
        <v>Based on the response to REQU-05 on the "START HERE" tab, this question does not apply to this product or service.</v>
      </c>
      <c r="F265" s="210"/>
      <c r="G265" s="196" t="str">
        <f>VLOOKUP($A265,Questions!$A$2:$X$333,21,0)&amp;""</f>
        <v>Yes</v>
      </c>
      <c r="H265" s="197"/>
      <c r="I265" s="198" t="str">
        <f>VLOOKUP($A265,Questions!$A$2:$X$333,23,0)&amp;""</f>
        <v>Standard Importance</v>
      </c>
      <c r="J265" s="197"/>
      <c r="K265" s="199" t="b">
        <f>FALSE()</f>
        <v>0</v>
      </c>
      <c r="L265" s="3"/>
    </row>
    <row r="266" spans="1:12" s="189" customFormat="1" ht="75" customHeight="1" x14ac:dyDescent="0.15">
      <c r="A266" s="36" t="str">
        <f>'Case-Specific'!A43</f>
        <v>HIPA-11</v>
      </c>
      <c r="B266" s="37" t="str">
        <f>VLOOKUP($A266,'Case-Specific'!$A$13:$E$85,2,0)&amp;""</f>
        <v>Does your application require users to set their own password after an administrator reset or on first use of the account?</v>
      </c>
      <c r="C266" s="198" t="str">
        <f>VLOOKUP($A266,'Case-Specific'!$A$13:$E$85,3,0)&amp;""</f>
        <v>N/A</v>
      </c>
      <c r="D266" s="70" t="str">
        <f>IF(LEFT(VLOOKUP($A266,'Case-Specific'!$A$13:$E$85,5,0),21)='Auto Responses'!$A$32,'Auto Responses'!$A$33,VLOOKUP($A266,'Case-Specific'!$A$13:$E$85,4,0))&amp;""</f>
        <v>This question does not apply.</v>
      </c>
      <c r="E266" s="204" t="str">
        <f>VLOOKUP($A266,'Case-Specific'!$A$13:$E$85,5,0)&amp;""</f>
        <v>Based on the response to REQU-05 on the "START HERE" tab, this question does not apply to this product or service.</v>
      </c>
      <c r="F266" s="210"/>
      <c r="G266" s="196" t="str">
        <f>VLOOKUP($A266,Questions!$A$2:$X$333,21,0)&amp;""</f>
        <v>Yes</v>
      </c>
      <c r="H266" s="197"/>
      <c r="I266" s="198" t="str">
        <f>VLOOKUP($A266,Questions!$A$2:$X$333,23,0)&amp;""</f>
        <v>Standard Importance</v>
      </c>
      <c r="J266" s="197"/>
      <c r="K266" s="199" t="b">
        <f>FALSE()</f>
        <v>0</v>
      </c>
      <c r="L266" s="3"/>
    </row>
    <row r="267" spans="1:12" s="189" customFormat="1" ht="75" customHeight="1" x14ac:dyDescent="0.15">
      <c r="A267" s="36" t="str">
        <f>'Case-Specific'!A44</f>
        <v>HIPA-12</v>
      </c>
      <c r="B267" s="37" t="str">
        <f>VLOOKUP($A267,'Case-Specific'!$A$13:$E$85,2,0)&amp;""</f>
        <v>Does your application lock out an account after a number of failed login attempts?</v>
      </c>
      <c r="C267" s="198" t="str">
        <f>VLOOKUP($A267,'Case-Specific'!$A$13:$E$85,3,0)&amp;""</f>
        <v>N/A</v>
      </c>
      <c r="D267" s="70" t="str">
        <f>IF(LEFT(VLOOKUP($A267,'Case-Specific'!$A$13:$E$85,5,0),21)='Auto Responses'!$A$32,'Auto Responses'!$A$33,VLOOKUP($A267,'Case-Specific'!$A$13:$E$85,4,0))&amp;""</f>
        <v>This question does not apply.</v>
      </c>
      <c r="E267" s="204" t="str">
        <f>VLOOKUP($A267,'Case-Specific'!$A$13:$E$85,5,0)&amp;""</f>
        <v>Based on the response to REQU-05 on the "START HERE" tab, this question does not apply to this product or service.</v>
      </c>
      <c r="F267" s="210"/>
      <c r="G267" s="196" t="str">
        <f>VLOOKUP($A267,Questions!$A$2:$X$333,21,0)&amp;""</f>
        <v>Yes</v>
      </c>
      <c r="H267" s="197"/>
      <c r="I267" s="198" t="str">
        <f>VLOOKUP($A267,Questions!$A$2:$X$333,23,0)&amp;""</f>
        <v>Standard Importance</v>
      </c>
      <c r="J267" s="197"/>
      <c r="K267" s="199" t="b">
        <f>FALSE()</f>
        <v>0</v>
      </c>
      <c r="L267" s="3"/>
    </row>
    <row r="268" spans="1:12" s="189" customFormat="1" ht="75" customHeight="1" x14ac:dyDescent="0.15">
      <c r="A268" s="36" t="str">
        <f>'Case-Specific'!A45</f>
        <v>HIPA-13</v>
      </c>
      <c r="B268" s="37" t="str">
        <f>VLOOKUP($A268,'Case-Specific'!$A$13:$E$85,2,0)&amp;""</f>
        <v>Does your application automatically lock or log-out an account after a period of inactivity?</v>
      </c>
      <c r="C268" s="198" t="str">
        <f>VLOOKUP($A268,'Case-Specific'!$A$13:$E$85,3,0)&amp;""</f>
        <v>N/A</v>
      </c>
      <c r="D268" s="70" t="str">
        <f>IF(LEFT(VLOOKUP($A268,'Case-Specific'!$A$13:$E$85,5,0),21)='Auto Responses'!$A$32,'Auto Responses'!$A$33,VLOOKUP($A268,'Case-Specific'!$A$13:$E$85,4,0))&amp;""</f>
        <v>This question does not apply.</v>
      </c>
      <c r="E268" s="204" t="str">
        <f>VLOOKUP($A268,'Case-Specific'!$A$13:$E$85,5,0)&amp;""</f>
        <v>Based on the response to REQU-05 on the "START HERE" tab, this question does not apply to this product or service.</v>
      </c>
      <c r="F268" s="210"/>
      <c r="G268" s="196" t="str">
        <f>VLOOKUP($A268,Questions!$A$2:$X$333,21,0)&amp;""</f>
        <v>Yes</v>
      </c>
      <c r="H268" s="197"/>
      <c r="I268" s="198" t="str">
        <f>VLOOKUP($A268,Questions!$A$2:$X$333,23,0)&amp;""</f>
        <v>Standard Importance</v>
      </c>
      <c r="J268" s="197"/>
      <c r="K268" s="199" t="b">
        <f>FALSE()</f>
        <v>0</v>
      </c>
      <c r="L268" s="3"/>
    </row>
    <row r="269" spans="1:12" s="189" customFormat="1" ht="75" customHeight="1" x14ac:dyDescent="0.15">
      <c r="A269" s="36" t="str">
        <f>'Case-Specific'!A46</f>
        <v>HIPA-14</v>
      </c>
      <c r="B269" s="37" t="str">
        <f>VLOOKUP($A269,'Case-Specific'!$A$13:$E$85,2,0)&amp;""</f>
        <v>Are passwords visible in plain text, whether when stored or entered, including service level accounts (i.e., database accounts, etc.)?</v>
      </c>
      <c r="C269" s="198" t="str">
        <f>VLOOKUP($A269,'Case-Specific'!$A$13:$E$85,3,0)&amp;""</f>
        <v>N/A</v>
      </c>
      <c r="D269" s="70" t="str">
        <f>IF(LEFT(VLOOKUP($A269,'Case-Specific'!$A$13:$E$85,5,0),21)='Auto Responses'!$A$32,'Auto Responses'!$A$33,VLOOKUP($A269,'Case-Specific'!$A$13:$E$85,4,0))&amp;""</f>
        <v>This question does not apply.</v>
      </c>
      <c r="E269" s="204" t="str">
        <f>VLOOKUP($A269,'Case-Specific'!$A$13:$E$85,5,0)&amp;""</f>
        <v>Based on the response to REQU-05 on the "START HERE" tab, this question does not apply to this product or service.</v>
      </c>
      <c r="F269" s="210"/>
      <c r="G269" s="196" t="str">
        <f>VLOOKUP($A269,Questions!$A$2:$X$333,21,0)&amp;""</f>
        <v>No</v>
      </c>
      <c r="H269" s="197"/>
      <c r="I269" s="198" t="str">
        <f>VLOOKUP($A269,Questions!$A$2:$X$333,23,0)&amp;""</f>
        <v>Standard Importance</v>
      </c>
      <c r="J269" s="197"/>
      <c r="K269" s="199" t="b">
        <f>FALSE()</f>
        <v>0</v>
      </c>
      <c r="L269" s="3"/>
    </row>
    <row r="270" spans="1:12" s="189" customFormat="1" ht="75" customHeight="1" x14ac:dyDescent="0.15">
      <c r="A270" s="36" t="str">
        <f>'Case-Specific'!A47</f>
        <v>HIPA-15</v>
      </c>
      <c r="B270" s="37" t="str">
        <f>VLOOKUP($A270,'Case-Specific'!$A$13:$E$85,2,0)&amp;""</f>
        <v>If the application is institution-hosted, can all service level and administrative account passwords be changed by the institution?</v>
      </c>
      <c r="C270" s="198" t="str">
        <f>VLOOKUP($A270,'Case-Specific'!$A$13:$E$85,3,0)&amp;""</f>
        <v>N/A</v>
      </c>
      <c r="D270" s="70" t="str">
        <f>IF(LEFT(VLOOKUP($A270,'Case-Specific'!$A$13:$E$85,5,0),21)='Auto Responses'!$A$32,'Auto Responses'!$A$33,VLOOKUP($A270,'Case-Specific'!$A$13:$E$85,4,0))&amp;""</f>
        <v>This question does not apply.</v>
      </c>
      <c r="E270" s="204" t="str">
        <f>VLOOKUP($A270,'Case-Specific'!$A$13:$E$85,5,0)&amp;""</f>
        <v>Based on the response to REQU-05 on the "START HERE" tab, this question does not apply to this product or service.</v>
      </c>
      <c r="F270" s="210"/>
      <c r="G270" s="196" t="str">
        <f>VLOOKUP($A270,Questions!$A$2:$X$333,21,0)&amp;""</f>
        <v>Yes</v>
      </c>
      <c r="H270" s="197"/>
      <c r="I270" s="198" t="str">
        <f>VLOOKUP($A270,Questions!$A$2:$X$333,23,0)&amp;""</f>
        <v>Standard Importance</v>
      </c>
      <c r="J270" s="197"/>
      <c r="K270" s="199" t="b">
        <f>FALSE()</f>
        <v>0</v>
      </c>
      <c r="L270" s="3"/>
    </row>
    <row r="271" spans="1:12" s="189" customFormat="1" ht="75" customHeight="1" x14ac:dyDescent="0.15">
      <c r="A271" s="36" t="str">
        <f>'Case-Specific'!A48</f>
        <v>HIPA-16</v>
      </c>
      <c r="B271" s="37" t="str">
        <f>VLOOKUP($A271,'Case-Specific'!$A$13:$E$85,2,0)&amp;""</f>
        <v>Does your application provide the ability to define user access levels?</v>
      </c>
      <c r="C271" s="198" t="str">
        <f>VLOOKUP($A271,'Case-Specific'!$A$13:$E$85,3,0)&amp;""</f>
        <v>N/A</v>
      </c>
      <c r="D271" s="70" t="str">
        <f>IF(LEFT(VLOOKUP($A271,'Case-Specific'!$A$13:$E$85,5,0),21)='Auto Responses'!$A$32,'Auto Responses'!$A$33,VLOOKUP($A271,'Case-Specific'!$A$13:$E$85,4,0))&amp;""</f>
        <v>This question does not apply.</v>
      </c>
      <c r="E271" s="204" t="str">
        <f>VLOOKUP($A271,'Case-Specific'!$A$13:$E$85,5,0)&amp;""</f>
        <v>Based on the response to REQU-05 on the "START HERE" tab, this question does not apply to this product or service.</v>
      </c>
      <c r="F271" s="210"/>
      <c r="G271" s="196" t="str">
        <f>VLOOKUP($A271,Questions!$A$2:$X$333,21,0)&amp;""</f>
        <v>Yes</v>
      </c>
      <c r="H271" s="197"/>
      <c r="I271" s="198" t="str">
        <f>VLOOKUP($A271,Questions!$A$2:$X$333,23,0)&amp;""</f>
        <v>Standard Importance</v>
      </c>
      <c r="J271" s="197"/>
      <c r="K271" s="199" t="b">
        <f>FALSE()</f>
        <v>0</v>
      </c>
      <c r="L271" s="3"/>
    </row>
    <row r="272" spans="1:12" s="189" customFormat="1" ht="75" customHeight="1" x14ac:dyDescent="0.15">
      <c r="A272" s="36" t="str">
        <f>'Case-Specific'!A49</f>
        <v>HIPA-17</v>
      </c>
      <c r="B272" s="37" t="str">
        <f>VLOOKUP($A272,'Case-Specific'!$A$13:$E$85,2,0)&amp;""</f>
        <v>Does your application support varying levels of access to administrative tasks defined individually per user?</v>
      </c>
      <c r="C272" s="198" t="str">
        <f>VLOOKUP($A272,'Case-Specific'!$A$13:$E$85,3,0)&amp;""</f>
        <v>N/A</v>
      </c>
      <c r="D272" s="70" t="str">
        <f>IF(LEFT(VLOOKUP($A272,'Case-Specific'!$A$13:$E$85,5,0),21)='Auto Responses'!$A$32,'Auto Responses'!$A$33,VLOOKUP($A272,'Case-Specific'!$A$13:$E$85,4,0))&amp;""</f>
        <v>This question does not apply.</v>
      </c>
      <c r="E272" s="204" t="str">
        <f>VLOOKUP($A272,'Case-Specific'!$A$13:$E$85,5,0)&amp;""</f>
        <v>Based on the response to REQU-05 on the "START HERE" tab, this question does not apply to this product or service.</v>
      </c>
      <c r="F272" s="210"/>
      <c r="G272" s="196" t="str">
        <f>VLOOKUP($A272,Questions!$A$2:$X$333,21,0)&amp;""</f>
        <v>Yes</v>
      </c>
      <c r="H272" s="197"/>
      <c r="I272" s="198" t="str">
        <f>VLOOKUP($A272,Questions!$A$2:$X$333,23,0)&amp;""</f>
        <v>Standard Importance</v>
      </c>
      <c r="J272" s="197"/>
      <c r="K272" s="199" t="b">
        <f>FALSE()</f>
        <v>0</v>
      </c>
      <c r="L272" s="3"/>
    </row>
    <row r="273" spans="1:12" s="189" customFormat="1" ht="75" customHeight="1" x14ac:dyDescent="0.15">
      <c r="A273" s="36" t="str">
        <f>'Case-Specific'!A50</f>
        <v>HIPA-18</v>
      </c>
      <c r="B273" s="37" t="str">
        <f>VLOOKUP($A273,'Case-Specific'!$A$13:$E$85,2,0)&amp;""</f>
        <v>Does your application support varying levels of access to records based on user ID?</v>
      </c>
      <c r="C273" s="198" t="str">
        <f>VLOOKUP($A273,'Case-Specific'!$A$13:$E$85,3,0)&amp;""</f>
        <v>N/A</v>
      </c>
      <c r="D273" s="70" t="str">
        <f>IF(LEFT(VLOOKUP($A273,'Case-Specific'!$A$13:$E$85,5,0),21)='Auto Responses'!$A$32,'Auto Responses'!$A$33,VLOOKUP($A273,'Case-Specific'!$A$13:$E$85,4,0))&amp;""</f>
        <v>This question does not apply.</v>
      </c>
      <c r="E273" s="204" t="str">
        <f>VLOOKUP($A273,'Case-Specific'!$A$13:$E$85,5,0)&amp;""</f>
        <v>Based on the response to REQU-05 on the "START HERE" tab, this question does not apply to this product or service.</v>
      </c>
      <c r="F273" s="210"/>
      <c r="G273" s="196" t="str">
        <f>VLOOKUP($A273,Questions!$A$2:$X$333,21,0)&amp;""</f>
        <v>No</v>
      </c>
      <c r="H273" s="197"/>
      <c r="I273" s="198" t="str">
        <f>VLOOKUP($A273,Questions!$A$2:$X$333,23,0)&amp;""</f>
        <v>Standard Importance</v>
      </c>
      <c r="J273" s="197"/>
      <c r="K273" s="199" t="b">
        <f>FALSE()</f>
        <v>0</v>
      </c>
      <c r="L273" s="3"/>
    </row>
    <row r="274" spans="1:12" s="189" customFormat="1" ht="75" customHeight="1" x14ac:dyDescent="0.15">
      <c r="A274" s="36" t="str">
        <f>'Case-Specific'!A51</f>
        <v>HIPA-19</v>
      </c>
      <c r="B274" s="37" t="str">
        <f>VLOOKUP($A274,'Case-Specific'!$A$13:$E$85,2,0)&amp;""</f>
        <v>Is there a limit to the number of groups to which a user can be assigned?</v>
      </c>
      <c r="C274" s="198" t="str">
        <f>VLOOKUP($A274,'Case-Specific'!$A$13:$E$85,3,0)&amp;""</f>
        <v>N/A</v>
      </c>
      <c r="D274" s="70" t="str">
        <f>IF(LEFT(VLOOKUP($A274,'Case-Specific'!$A$13:$E$85,5,0),21)='Auto Responses'!$A$32,'Auto Responses'!$A$33,VLOOKUP($A274,'Case-Specific'!$A$13:$E$85,4,0))&amp;""</f>
        <v>This question does not apply.</v>
      </c>
      <c r="E274" s="204" t="str">
        <f>VLOOKUP($A274,'Case-Specific'!$A$13:$E$85,5,0)&amp;""</f>
        <v>Based on the response to REQU-05 on the "START HERE" tab, this question does not apply to this product or service.</v>
      </c>
      <c r="F274" s="210"/>
      <c r="G274" s="196" t="str">
        <f>VLOOKUP($A274,Questions!$A$2:$X$333,21,0)&amp;""</f>
        <v>Yes</v>
      </c>
      <c r="H274" s="197"/>
      <c r="I274" s="198" t="str">
        <f>VLOOKUP($A274,Questions!$A$2:$X$333,23,0)&amp;""</f>
        <v>Standard Importance</v>
      </c>
      <c r="J274" s="197"/>
      <c r="K274" s="199" t="b">
        <f>FALSE()</f>
        <v>0</v>
      </c>
      <c r="L274" s="3"/>
    </row>
    <row r="275" spans="1:12" s="189" customFormat="1" ht="75" customHeight="1" x14ac:dyDescent="0.15">
      <c r="A275" s="36" t="str">
        <f>'Case-Specific'!A52</f>
        <v>HIPA-20</v>
      </c>
      <c r="B275" s="37" t="str">
        <f>VLOOKUP($A275,'Case-Specific'!$A$13:$E$85,2,0)&amp;""</f>
        <v>Do accounts used for solution provider-supplied remote support abide by the same authentication policies and access logging as the rest of the system?</v>
      </c>
      <c r="C275" s="198" t="str">
        <f>VLOOKUP($A275,'Case-Specific'!$A$13:$E$85,3,0)&amp;""</f>
        <v>N/A</v>
      </c>
      <c r="D275" s="70" t="str">
        <f>IF(LEFT(VLOOKUP($A275,'Case-Specific'!$A$13:$E$85,5,0),21)='Auto Responses'!$A$32,'Auto Responses'!$A$33,VLOOKUP($A275,'Case-Specific'!$A$13:$E$85,4,0))&amp;""</f>
        <v>This question does not apply.</v>
      </c>
      <c r="E275" s="204" t="str">
        <f>VLOOKUP($A275,'Case-Specific'!$A$13:$E$85,5,0)&amp;""</f>
        <v>Based on the response to REQU-05 on the "START HERE" tab, this question does not apply to this product or service.</v>
      </c>
      <c r="F275" s="210"/>
      <c r="G275" s="196" t="str">
        <f>VLOOKUP($A275,Questions!$A$2:$X$333,21,0)&amp;""</f>
        <v>Yes</v>
      </c>
      <c r="H275" s="197"/>
      <c r="I275" s="198" t="str">
        <f>VLOOKUP($A275,Questions!$A$2:$X$333,23,0)&amp;""</f>
        <v>Standard Importance</v>
      </c>
      <c r="J275" s="197"/>
      <c r="K275" s="199" t="b">
        <f>FALSE()</f>
        <v>0</v>
      </c>
      <c r="L275" s="3"/>
    </row>
    <row r="276" spans="1:12" s="189" customFormat="1" ht="75" customHeight="1" x14ac:dyDescent="0.15">
      <c r="A276" s="36" t="str">
        <f>'Case-Specific'!A53</f>
        <v>HIPA-21</v>
      </c>
      <c r="B276" s="37" t="str">
        <f>VLOOKUP($A276,'Case-Specific'!$A$13:$E$85,2,0)&amp;""</f>
        <v>Does the application log record access including specific user, date/time of access, and originating IP or device?</v>
      </c>
      <c r="C276" s="198" t="str">
        <f>VLOOKUP($A276,'Case-Specific'!$A$13:$E$85,3,0)&amp;""</f>
        <v>N/A</v>
      </c>
      <c r="D276" s="70" t="str">
        <f>IF(LEFT(VLOOKUP($A276,'Case-Specific'!$A$13:$E$85,5,0),21)='Auto Responses'!$A$32,'Auto Responses'!$A$33,VLOOKUP($A276,'Case-Specific'!$A$13:$E$85,4,0))&amp;""</f>
        <v>This question does not apply.</v>
      </c>
      <c r="E276" s="204" t="str">
        <f>VLOOKUP($A276,'Case-Specific'!$A$13:$E$85,5,0)&amp;""</f>
        <v>Based on the response to REQU-05 on the "START HERE" tab, this question does not apply to this product or service.</v>
      </c>
      <c r="F276" s="210"/>
      <c r="G276" s="196" t="str">
        <f>VLOOKUP($A276,Questions!$A$2:$X$333,21,0)&amp;""</f>
        <v>Yes</v>
      </c>
      <c r="H276" s="197"/>
      <c r="I276" s="198" t="str">
        <f>VLOOKUP($A276,Questions!$A$2:$X$333,23,0)&amp;""</f>
        <v>Standard Importance</v>
      </c>
      <c r="J276" s="197"/>
      <c r="K276" s="199" t="b">
        <f>FALSE()</f>
        <v>0</v>
      </c>
      <c r="L276" s="3"/>
    </row>
    <row r="277" spans="1:12" s="189" customFormat="1" ht="75" customHeight="1" x14ac:dyDescent="0.15">
      <c r="A277" s="36" t="str">
        <f>'Case-Specific'!A54</f>
        <v>HIPA-22</v>
      </c>
      <c r="B277" s="37" t="str">
        <f>VLOOKUP($A277,'Case-Specific'!$A$13:$E$85,2,0)&amp;""</f>
        <v>Does the application log administrative activity, such as user account access changes and password changes, including specific user, date/time of changes, and originating IP or device?</v>
      </c>
      <c r="C277" s="198" t="str">
        <f>VLOOKUP($A277,'Case-Specific'!$A$13:$E$85,3,0)&amp;""</f>
        <v>N/A</v>
      </c>
      <c r="D277" s="70" t="str">
        <f>IF(LEFT(VLOOKUP($A277,'Case-Specific'!$A$13:$E$85,5,0),21)='Auto Responses'!$A$32,'Auto Responses'!$A$33,VLOOKUP($A277,'Case-Specific'!$A$13:$E$85,4,0))&amp;""</f>
        <v>This question does not apply.</v>
      </c>
      <c r="E277" s="204" t="str">
        <f>VLOOKUP($A277,'Case-Specific'!$A$13:$E$85,5,0)&amp;""</f>
        <v>Based on the response to REQU-05 on the "START HERE" tab, this question does not apply to this product or service.</v>
      </c>
      <c r="F277" s="210"/>
      <c r="G277" s="196" t="str">
        <f>VLOOKUP($A277,Questions!$A$2:$X$333,21,0)&amp;""</f>
        <v>Yes</v>
      </c>
      <c r="H277" s="197"/>
      <c r="I277" s="198" t="str">
        <f>VLOOKUP($A277,Questions!$A$2:$X$333,23,0)&amp;""</f>
        <v>Standard Importance</v>
      </c>
      <c r="J277" s="197"/>
      <c r="K277" s="199" t="b">
        <f>FALSE()</f>
        <v>0</v>
      </c>
      <c r="L277" s="3"/>
    </row>
    <row r="278" spans="1:12" s="189" customFormat="1" ht="75" customHeight="1" x14ac:dyDescent="0.15">
      <c r="A278" s="36" t="str">
        <f>'Case-Specific'!A55</f>
        <v>HIPA-23</v>
      </c>
      <c r="B278" s="37" t="str">
        <f>VLOOKUP($A278,'Case-Specific'!$A$13:$E$85,2,0)&amp;""</f>
        <v>Do you retain logs for at least as long as required by HIPAA regulations?</v>
      </c>
      <c r="C278" s="198" t="str">
        <f>VLOOKUP($A278,'Case-Specific'!$A$13:$E$85,3,0)&amp;""</f>
        <v>N/A</v>
      </c>
      <c r="D278" s="70" t="str">
        <f>IF(LEFT(VLOOKUP($A278,'Case-Specific'!$A$13:$E$85,5,0),21)='Auto Responses'!$A$32,'Auto Responses'!$A$33,VLOOKUP($A278,'Case-Specific'!$A$13:$E$85,4,0))&amp;""</f>
        <v>This question does not apply.</v>
      </c>
      <c r="E278" s="204" t="str">
        <f>VLOOKUP($A278,'Case-Specific'!$A$13:$E$85,5,0)&amp;""</f>
        <v>Based on the response to REQU-05 on the "START HERE" tab, this question does not apply to this product or service.</v>
      </c>
      <c r="F278" s="210"/>
      <c r="G278" s="196" t="str">
        <f>VLOOKUP($A278,Questions!$A$2:$X$333,21,0)&amp;""</f>
        <v>Yes</v>
      </c>
      <c r="H278" s="197"/>
      <c r="I278" s="198" t="str">
        <f>VLOOKUP($A278,Questions!$A$2:$X$333,23,0)&amp;""</f>
        <v>Standard Importance</v>
      </c>
      <c r="J278" s="197"/>
      <c r="K278" s="199" t="b">
        <f>FALSE()</f>
        <v>0</v>
      </c>
      <c r="L278" s="3"/>
    </row>
    <row r="279" spans="1:12" s="189" customFormat="1" ht="75" customHeight="1" x14ac:dyDescent="0.15">
      <c r="A279" s="36" t="str">
        <f>'Case-Specific'!A56</f>
        <v>HIPA-24</v>
      </c>
      <c r="B279" s="37" t="str">
        <f>VLOOKUP($A279,'Case-Specific'!$A$13:$E$85,2,0)&amp;""</f>
        <v>Can the application logs be archived?</v>
      </c>
      <c r="C279" s="198" t="str">
        <f>VLOOKUP($A279,'Case-Specific'!$A$13:$E$85,3,0)&amp;""</f>
        <v>N/A</v>
      </c>
      <c r="D279" s="70" t="str">
        <f>IF(LEFT(VLOOKUP($A279,'Case-Specific'!$A$13:$E$85,5,0),21)='Auto Responses'!$A$32,'Auto Responses'!$A$33,VLOOKUP($A279,'Case-Specific'!$A$13:$E$85,4,0))&amp;""</f>
        <v>This question does not apply.</v>
      </c>
      <c r="E279" s="204" t="str">
        <f>VLOOKUP($A279,'Case-Specific'!$A$13:$E$85,5,0)&amp;""</f>
        <v>Based on the response to REQU-05 on the "START HERE" tab, this question does not apply to this product or service.</v>
      </c>
      <c r="F279" s="210"/>
      <c r="G279" s="196" t="str">
        <f>VLOOKUP($A279,Questions!$A$2:$X$333,21,0)&amp;""</f>
        <v>Yes</v>
      </c>
      <c r="H279" s="197"/>
      <c r="I279" s="198" t="str">
        <f>VLOOKUP($A279,Questions!$A$2:$X$333,23,0)&amp;""</f>
        <v>Standard Importance</v>
      </c>
      <c r="J279" s="197"/>
      <c r="K279" s="199" t="b">
        <f>FALSE()</f>
        <v>0</v>
      </c>
      <c r="L279" s="3"/>
    </row>
    <row r="280" spans="1:12" s="189" customFormat="1" ht="75" customHeight="1" x14ac:dyDescent="0.15">
      <c r="A280" s="36" t="str">
        <f>'Case-Specific'!A57</f>
        <v>HIPA-25</v>
      </c>
      <c r="B280" s="37" t="str">
        <f>VLOOKUP($A280,'Case-Specific'!$A$13:$E$85,2,0)&amp;""</f>
        <v>Can the application logs be saved externally?</v>
      </c>
      <c r="C280" s="198" t="str">
        <f>VLOOKUP($A280,'Case-Specific'!$A$13:$E$85,3,0)&amp;""</f>
        <v>N/A</v>
      </c>
      <c r="D280" s="70" t="str">
        <f>IF(LEFT(VLOOKUP($A280,'Case-Specific'!$A$13:$E$85,5,0),21)='Auto Responses'!$A$32,'Auto Responses'!$A$33,VLOOKUP($A280,'Case-Specific'!$A$13:$E$85,4,0))&amp;""</f>
        <v>This question does not apply.</v>
      </c>
      <c r="E280" s="204" t="str">
        <f>VLOOKUP($A280,'Case-Specific'!$A$13:$E$85,5,0)&amp;""</f>
        <v>Based on the response to REQU-05 on the "START HERE" tab, this question does not apply to this product or service.</v>
      </c>
      <c r="F280" s="210"/>
      <c r="G280" s="196" t="str">
        <f>VLOOKUP($A280,Questions!$A$2:$X$333,21,0)&amp;""</f>
        <v>Yes</v>
      </c>
      <c r="H280" s="197"/>
      <c r="I280" s="198" t="str">
        <f>VLOOKUP($A280,Questions!$A$2:$X$333,23,0)&amp;""</f>
        <v>Standard Importance</v>
      </c>
      <c r="J280" s="197"/>
      <c r="K280" s="199" t="b">
        <f>FALSE()</f>
        <v>0</v>
      </c>
      <c r="L280" s="3"/>
    </row>
    <row r="281" spans="1:12" s="189" customFormat="1" ht="75" customHeight="1" x14ac:dyDescent="0.15">
      <c r="A281" s="36" t="str">
        <f>'Case-Specific'!A58</f>
        <v>HIPA-26</v>
      </c>
      <c r="B281" s="37" t="str">
        <f>VLOOKUP($A281,'Case-Specific'!$A$13:$E$85,2,0)&amp;""</f>
        <v>Do you have a disaster recovery plan and emergency mode operation plan?</v>
      </c>
      <c r="C281" s="198" t="str">
        <f>VLOOKUP($A281,'Case-Specific'!$A$13:$E$85,3,0)&amp;""</f>
        <v>N/A</v>
      </c>
      <c r="D281" s="70" t="str">
        <f>IF(LEFT(VLOOKUP($A281,'Case-Specific'!$A$13:$E$85,5,0),21)='Auto Responses'!$A$32,'Auto Responses'!$A$33,VLOOKUP($A281,'Case-Specific'!$A$13:$E$85,4,0))&amp;""</f>
        <v>This question does not apply.</v>
      </c>
      <c r="E281" s="204" t="str">
        <f>VLOOKUP($A281,'Case-Specific'!$A$13:$E$85,5,0)&amp;""</f>
        <v>Based on the response to REQU-05 on the "START HERE" tab, this question does not apply to this product or service.</v>
      </c>
      <c r="F281" s="210"/>
      <c r="G281" s="196" t="str">
        <f>VLOOKUP($A281,Questions!$A$2:$X$333,21,0)&amp;""</f>
        <v>Yes</v>
      </c>
      <c r="H281" s="197"/>
      <c r="I281" s="198" t="str">
        <f>VLOOKUP($A281,Questions!$A$2:$X$333,23,0)&amp;""</f>
        <v>Standard Importance</v>
      </c>
      <c r="J281" s="197"/>
      <c r="K281" s="199" t="b">
        <f>FALSE()</f>
        <v>0</v>
      </c>
      <c r="L281" s="3"/>
    </row>
    <row r="282" spans="1:12" s="189" customFormat="1" ht="75" customHeight="1" x14ac:dyDescent="0.15">
      <c r="A282" s="36" t="str">
        <f>'Case-Specific'!A59</f>
        <v>HIPA-27</v>
      </c>
      <c r="B282" s="37" t="str">
        <f>VLOOKUP($A282,'Case-Specific'!$A$13:$E$85,2,0)&amp;""</f>
        <v>Can you provide a HIPAA compliance attestation document?</v>
      </c>
      <c r="C282" s="198" t="str">
        <f>VLOOKUP($A282,'Case-Specific'!$A$13:$E$85,3,0)&amp;""</f>
        <v>N/A</v>
      </c>
      <c r="D282" s="70" t="str">
        <f>IF(LEFT(VLOOKUP($A282,'Case-Specific'!$A$13:$E$85,5,0),21)='Auto Responses'!$A$32,'Auto Responses'!$A$33,VLOOKUP($A282,'Case-Specific'!$A$13:$E$85,4,0))&amp;""</f>
        <v>This question does not apply.</v>
      </c>
      <c r="E282" s="204" t="str">
        <f>VLOOKUP($A282,'Case-Specific'!$A$13:$E$85,5,0)&amp;""</f>
        <v>Based on the response to REQU-05 on the "START HERE" tab, this question does not apply to this product or service.</v>
      </c>
      <c r="F282" s="210"/>
      <c r="G282" s="196" t="str">
        <f>VLOOKUP($A282,Questions!$A$2:$X$333,21,0)&amp;""</f>
        <v>Yes</v>
      </c>
      <c r="H282" s="197"/>
      <c r="I282" s="198" t="str">
        <f>VLOOKUP($A282,Questions!$A$2:$X$333,23,0)&amp;""</f>
        <v>Standard Importance</v>
      </c>
      <c r="J282" s="197"/>
      <c r="K282" s="199" t="b">
        <f>FALSE()</f>
        <v>0</v>
      </c>
      <c r="L282" s="3"/>
    </row>
    <row r="283" spans="1:12" s="189" customFormat="1" ht="75" customHeight="1" x14ac:dyDescent="0.15">
      <c r="A283" s="36" t="str">
        <f>'Case-Specific'!A60</f>
        <v>HIPA-28</v>
      </c>
      <c r="B283" s="37" t="str">
        <f>VLOOKUP($A283,'Case-Specific'!$A$13:$E$85,2,0)&amp;""</f>
        <v>Are you willing to enter into a Business Associate Agreement (BAA)?</v>
      </c>
      <c r="C283" s="198" t="str">
        <f>VLOOKUP($A283,'Case-Specific'!$A$13:$E$85,3,0)&amp;""</f>
        <v>N/A</v>
      </c>
      <c r="D283" s="70" t="str">
        <f>IF(LEFT(VLOOKUP($A283,'Case-Specific'!$A$13:$E$85,5,0),21)='Auto Responses'!$A$32,'Auto Responses'!$A$33,VLOOKUP($A283,'Case-Specific'!$A$13:$E$85,4,0))&amp;""</f>
        <v>This question does not apply.</v>
      </c>
      <c r="E283" s="204" t="str">
        <f>VLOOKUP($A283,'Case-Specific'!$A$13:$E$85,5,0)&amp;""</f>
        <v>Based on the response to REQU-05 on the "START HERE" tab, this question does not apply to this product or service.</v>
      </c>
      <c r="F283" s="210"/>
      <c r="G283" s="196" t="str">
        <f>VLOOKUP($A283,Questions!$A$2:$X$333,21,0)&amp;""</f>
        <v>Yes</v>
      </c>
      <c r="H283" s="197"/>
      <c r="I283" s="198" t="str">
        <f>VLOOKUP($A283,Questions!$A$2:$X$333,23,0)&amp;""</f>
        <v>Standard Importance</v>
      </c>
      <c r="J283" s="197"/>
      <c r="K283" s="199" t="b">
        <f>FALSE()</f>
        <v>0</v>
      </c>
      <c r="L283" s="3"/>
    </row>
    <row r="284" spans="1:12" s="189" customFormat="1" ht="75" customHeight="1" x14ac:dyDescent="0.15">
      <c r="A284" s="36" t="str">
        <f>'Case-Specific'!A61</f>
        <v>HIPA-29</v>
      </c>
      <c r="B284" s="37" t="str">
        <f>VLOOKUP($A284,'Case-Specific'!$A$13:$E$85,2,0)&amp;""</f>
        <v>Do your data backup and retention policies and practices meet HIPAA requirements?</v>
      </c>
      <c r="C284" s="198" t="str">
        <f>VLOOKUP($A284,'Case-Specific'!$A$13:$E$85,3,0)&amp;""</f>
        <v>N/A</v>
      </c>
      <c r="D284" s="70" t="str">
        <f>IF(LEFT(VLOOKUP($A284,'Case-Specific'!$A$13:$E$85,5,0),21)='Auto Responses'!$A$32,'Auto Responses'!$A$33,VLOOKUP($A284,'Case-Specific'!$A$13:$E$85,4,0))&amp;""</f>
        <v>This question does not apply.</v>
      </c>
      <c r="E284" s="204" t="str">
        <f>VLOOKUP($A284,'Case-Specific'!$A$13:$E$85,5,0)&amp;""</f>
        <v>Based on the response to REQU-05 on the "START HERE" tab, this question does not apply to this product or service.</v>
      </c>
      <c r="F284" s="210"/>
      <c r="G284" s="196" t="str">
        <f>VLOOKUP($A284,Questions!$A$2:$X$333,21,0)&amp;""</f>
        <v>Yes</v>
      </c>
      <c r="H284" s="197"/>
      <c r="I284" s="198" t="str">
        <f>VLOOKUP($A284,Questions!$A$2:$X$333,23,0)&amp;""</f>
        <v>Minor Importance</v>
      </c>
      <c r="J284" s="197"/>
      <c r="K284" s="199" t="b">
        <f>FALSE()</f>
        <v>0</v>
      </c>
      <c r="L284" s="3"/>
    </row>
    <row r="285" spans="1:12" s="3" customFormat="1" ht="17.25" customHeight="1" x14ac:dyDescent="0.15">
      <c r="A285" s="32" t="str">
        <f>VLOOKUP(LEFT($A286,4),'Auto Responses'!$N$4:$O$38,2,0)&amp;""</f>
        <v xml:space="preserve"> Payment Card Industry Data Security Standard (PCI DSS)</v>
      </c>
      <c r="B285" s="41"/>
      <c r="C285" s="42"/>
      <c r="D285" s="42"/>
      <c r="E285" s="203"/>
      <c r="F285" s="191" t="s">
        <v>468</v>
      </c>
      <c r="G285" s="200" t="s">
        <v>463</v>
      </c>
      <c r="H285" s="200" t="s">
        <v>464</v>
      </c>
      <c r="I285" s="200" t="s">
        <v>465</v>
      </c>
      <c r="J285" s="200" t="s">
        <v>466</v>
      </c>
      <c r="K285" s="200" t="s">
        <v>467</v>
      </c>
    </row>
    <row r="286" spans="1:12" s="189" customFormat="1" ht="60" customHeight="1" x14ac:dyDescent="0.15">
      <c r="A286" s="36" t="str">
        <f>'Case-Specific'!A63</f>
        <v>PCID-01</v>
      </c>
      <c r="B286" s="37" t="str">
        <f>VLOOKUP($A286,'Case-Specific'!$A$13:$E$85,2,0)&amp;""</f>
        <v>Do you have a current, executed within the past year, Attestation of Compliance (AoC) or Report on Compliance (RoC)?*</v>
      </c>
      <c r="C286" s="198" t="str">
        <f>VLOOKUP($A286,'Case-Specific'!$A$13:$E$85,3,0)&amp;""</f>
        <v>N/A</v>
      </c>
      <c r="D286" s="70" t="str">
        <f>IF(LEFT(VLOOKUP($A286,'Case-Specific'!$A$13:$E$85,5,0),21)='Auto Responses'!$A$32,'Auto Responses'!$A$33,VLOOKUP($A286,'Case-Specific'!$A$13:$E$85,4,0))&amp;""</f>
        <v>This question does not apply.</v>
      </c>
      <c r="E286" s="204" t="str">
        <f>VLOOKUP($A286,'Case-Specific'!$A$13:$E$85,5,0)&amp;""</f>
        <v>Based on the response to REQU-06 on the "START HERE" tab, this question does not apply to this product or service.</v>
      </c>
      <c r="F286" s="210"/>
      <c r="G286" s="196" t="str">
        <f>VLOOKUP($A286,Questions!$A$2:$X$333,21,0)&amp;""</f>
        <v>Yes</v>
      </c>
      <c r="H286" s="197"/>
      <c r="I286" s="198" t="str">
        <f>VLOOKUP($A286,Questions!$A$2:$X$333,23,0)&amp;""</f>
        <v>Critical Importance</v>
      </c>
      <c r="J286" s="197"/>
      <c r="K286" s="199" t="b">
        <f>FALSE()</f>
        <v>0</v>
      </c>
      <c r="L286" s="3"/>
    </row>
    <row r="287" spans="1:12" s="189" customFormat="1" ht="60" customHeight="1" x14ac:dyDescent="0.15">
      <c r="A287" s="36" t="str">
        <f>'Case-Specific'!A64</f>
        <v>PCID-02</v>
      </c>
      <c r="B287" s="37" t="str">
        <f>VLOOKUP($A287,'Case-Specific'!$A$13:$E$85,2,0)&amp;""</f>
        <v>Is the application listed as an approved Payment Application Data Security Standard (PA-DSS) application?*</v>
      </c>
      <c r="C287" s="198" t="str">
        <f>VLOOKUP($A287,'Case-Specific'!$A$13:$E$85,3,0)&amp;""</f>
        <v>N/A</v>
      </c>
      <c r="D287" s="70" t="str">
        <f>IF(LEFT(VLOOKUP($A287,'Case-Specific'!$A$13:$E$85,5,0),21)='Auto Responses'!$A$32,'Auto Responses'!$A$33,VLOOKUP($A287,'Case-Specific'!$A$13:$E$85,4,0))&amp;""</f>
        <v>This question does not apply.</v>
      </c>
      <c r="E287" s="204" t="str">
        <f>VLOOKUP($A287,'Case-Specific'!$A$13:$E$85,5,0)&amp;""</f>
        <v>Based on the response to REQU-06 on the "START HERE" tab, this question does not apply to this product or service.</v>
      </c>
      <c r="F287" s="210"/>
      <c r="G287" s="196" t="str">
        <f>VLOOKUP($A287,Questions!$A$2:$X$333,21,0)&amp;""</f>
        <v>No</v>
      </c>
      <c r="H287" s="197"/>
      <c r="I287" s="198" t="str">
        <f>VLOOKUP($A287,Questions!$A$2:$X$333,23,0)&amp;""</f>
        <v>Critical Importance</v>
      </c>
      <c r="J287" s="197"/>
      <c r="K287" s="199" t="b">
        <f>FALSE()</f>
        <v>0</v>
      </c>
      <c r="L287" s="3"/>
    </row>
    <row r="288" spans="1:12" s="189" customFormat="1" ht="60" customHeight="1" x14ac:dyDescent="0.15">
      <c r="A288" s="36" t="str">
        <f>'Case-Specific'!A65</f>
        <v>PCID-03</v>
      </c>
      <c r="B288" s="37" t="str">
        <f>VLOOKUP($A288,'Case-Specific'!$A$13:$E$85,2,0)&amp;""</f>
        <v>Does the system or solutions use a third party to collect, store, process, or transmit cardholder (payment/credit/debt card) data?*</v>
      </c>
      <c r="C288" s="198" t="str">
        <f>VLOOKUP($A288,'Case-Specific'!$A$13:$E$85,3,0)&amp;""</f>
        <v>N/A</v>
      </c>
      <c r="D288" s="70" t="str">
        <f>IF(LEFT(VLOOKUP($A288,'Case-Specific'!$A$13:$E$85,5,0),21)='Auto Responses'!$A$32,'Auto Responses'!$A$33,VLOOKUP($A288,'Case-Specific'!$A$13:$E$85,4,0))&amp;""</f>
        <v>This question does not apply.</v>
      </c>
      <c r="E288" s="204" t="str">
        <f>VLOOKUP($A288,'Case-Specific'!$A$13:$E$85,5,0)&amp;""</f>
        <v>Based on the response to REQU-06 on the "START HERE" tab, this question does not apply to this product or service.</v>
      </c>
      <c r="F288" s="210"/>
      <c r="G288" s="196" t="str">
        <f>VLOOKUP($A288,Questions!$A$2:$X$333,21,0)&amp;""</f>
        <v>No</v>
      </c>
      <c r="H288" s="197"/>
      <c r="I288" s="198" t="str">
        <f>VLOOKUP($A288,Questions!$A$2:$X$333,23,0)&amp;""</f>
        <v>Critical Importance</v>
      </c>
      <c r="J288" s="197"/>
      <c r="K288" s="199" t="b">
        <f>FALSE()</f>
        <v>0</v>
      </c>
      <c r="L288" s="3"/>
    </row>
    <row r="289" spans="1:12" s="189" customFormat="1" ht="60" customHeight="1" x14ac:dyDescent="0.15">
      <c r="A289" s="36" t="str">
        <f>'Case-Specific'!A66</f>
        <v>PCID-04</v>
      </c>
      <c r="B289" s="37" t="str">
        <f>VLOOKUP($A289,'Case-Specific'!$A$13:$E$85,2,0)&amp;""</f>
        <v>Do your systems or solutions store, process, or transmit cardholder (payment/credit/debt card) data?</v>
      </c>
      <c r="C289" s="198" t="str">
        <f>VLOOKUP($A289,'Case-Specific'!$A$13:$E$85,3,0)&amp;""</f>
        <v>N/A</v>
      </c>
      <c r="D289" s="70" t="str">
        <f>IF(LEFT(VLOOKUP($A289,'Case-Specific'!$A$13:$E$85,5,0),21)='Auto Responses'!$A$32,'Auto Responses'!$A$33,VLOOKUP($A289,'Case-Specific'!$A$13:$E$85,4,0))&amp;""</f>
        <v>This question does not apply.</v>
      </c>
      <c r="E289" s="204" t="str">
        <f>VLOOKUP($A289,'Case-Specific'!$A$13:$E$85,5,0)&amp;""</f>
        <v>Based on the response to REQU-06 on the "START HERE" tab, this question does not apply to this product or service.</v>
      </c>
      <c r="F289" s="210"/>
      <c r="G289" s="196" t="str">
        <f>VLOOKUP($A289,Questions!$A$2:$X$333,21,0)&amp;""</f>
        <v>Yes</v>
      </c>
      <c r="H289" s="197"/>
      <c r="I289" s="198" t="str">
        <f>VLOOKUP($A289,Questions!$A$2:$X$333,23,0)&amp;""</f>
        <v>Standard Importance</v>
      </c>
      <c r="J289" s="197"/>
      <c r="K289" s="199" t="b">
        <f>FALSE()</f>
        <v>0</v>
      </c>
      <c r="L289" s="3"/>
    </row>
    <row r="290" spans="1:12" s="189" customFormat="1" ht="60" customHeight="1" x14ac:dyDescent="0.15">
      <c r="A290" s="36" t="str">
        <f>'Case-Specific'!A67</f>
        <v>PCID-05</v>
      </c>
      <c r="B290" s="37" t="str">
        <f>VLOOKUP($A290,'Case-Specific'!$A$13:$E$85,2,0)&amp;""</f>
        <v>Are you compliant with the Payment Card Industry Data Security Standard (PCI DSS)?</v>
      </c>
      <c r="C290" s="198" t="str">
        <f>VLOOKUP($A290,'Case-Specific'!$A$13:$E$85,3,0)&amp;""</f>
        <v>N/A</v>
      </c>
      <c r="D290" s="70" t="str">
        <f>IF(LEFT(VLOOKUP($A290,'Case-Specific'!$A$13:$E$85,5,0),21)='Auto Responses'!$A$32,'Auto Responses'!$A$33,VLOOKUP($A290,'Case-Specific'!$A$13:$E$85,4,0))&amp;""</f>
        <v>This question does not apply.</v>
      </c>
      <c r="E290" s="204" t="str">
        <f>VLOOKUP($A290,'Case-Specific'!$A$13:$E$85,5,0)&amp;""</f>
        <v>Based on the response to REQU-06 on the "START HERE" tab, this question does not apply to this product or service.</v>
      </c>
      <c r="F290" s="210"/>
      <c r="G290" s="196" t="str">
        <f>VLOOKUP($A290,Questions!$A$2:$X$333,21,0)&amp;""</f>
        <v>Yes</v>
      </c>
      <c r="H290" s="197"/>
      <c r="I290" s="198" t="str">
        <f>VLOOKUP($A290,Questions!$A$2:$X$333,23,0)&amp;""</f>
        <v>Standard Importance</v>
      </c>
      <c r="J290" s="197"/>
      <c r="K290" s="199" t="b">
        <f>FALSE()</f>
        <v>0</v>
      </c>
      <c r="L290" s="3"/>
    </row>
    <row r="291" spans="1:12" s="189" customFormat="1" ht="60" customHeight="1" x14ac:dyDescent="0.15">
      <c r="A291" s="36" t="str">
        <f>'Case-Specific'!A68</f>
        <v>PCID-06</v>
      </c>
      <c r="B291" s="37" t="str">
        <f>VLOOKUP($A291,'Case-Specific'!$A$13:$E$85,2,0)&amp;""</f>
        <v>Are you classified as a service provider?</v>
      </c>
      <c r="C291" s="198" t="str">
        <f>VLOOKUP($A291,'Case-Specific'!$A$13:$E$85,3,0)&amp;""</f>
        <v>N/A</v>
      </c>
      <c r="D291" s="70" t="str">
        <f>IF(LEFT(VLOOKUP($A291,'Case-Specific'!$A$13:$E$85,5,0),21)='Auto Responses'!$A$32,'Auto Responses'!$A$33,VLOOKUP($A291,'Case-Specific'!$A$13:$E$85,4,0))&amp;""</f>
        <v>This question does not apply.</v>
      </c>
      <c r="E291" s="204" t="str">
        <f>VLOOKUP($A291,'Case-Specific'!$A$13:$E$85,5,0)&amp;""</f>
        <v>Based on the response to REQU-06 on the "START HERE" tab, this question does not apply to this product or service.</v>
      </c>
      <c r="F291" s="210"/>
      <c r="G291" s="196" t="str">
        <f>VLOOKUP($A291,Questions!$A$2:$X$333,21,0)&amp;""</f>
        <v>Yes</v>
      </c>
      <c r="H291" s="197"/>
      <c r="I291" s="198" t="str">
        <f>VLOOKUP($A291,Questions!$A$2:$X$333,23,0)&amp;""</f>
        <v>Standard Importance</v>
      </c>
      <c r="J291" s="197"/>
      <c r="K291" s="199" t="b">
        <f>FALSE()</f>
        <v>0</v>
      </c>
      <c r="L291" s="3"/>
    </row>
    <row r="292" spans="1:12" s="189" customFormat="1" ht="60" customHeight="1" x14ac:dyDescent="0.15">
      <c r="A292" s="36" t="str">
        <f>'Case-Specific'!A69</f>
        <v>PCID-07</v>
      </c>
      <c r="B292" s="37" t="str">
        <f>VLOOKUP($A292,'Case-Specific'!$A$13:$E$85,2,0)&amp;""</f>
        <v>Are you on the list of Visa approved service providers?</v>
      </c>
      <c r="C292" s="198" t="str">
        <f>VLOOKUP($A292,'Case-Specific'!$A$13:$E$85,3,0)&amp;""</f>
        <v>N/A</v>
      </c>
      <c r="D292" s="70" t="str">
        <f>IF(LEFT(VLOOKUP($A292,'Case-Specific'!$A$13:$E$85,5,0),21)='Auto Responses'!$A$32,'Auto Responses'!$A$33,VLOOKUP($A292,'Case-Specific'!$A$13:$E$85,4,0))&amp;""</f>
        <v>This question does not apply.</v>
      </c>
      <c r="E292" s="204" t="str">
        <f>VLOOKUP($A292,'Case-Specific'!$A$13:$E$85,5,0)&amp;""</f>
        <v>Based on the response to REQU-06 on the "START HERE" tab, this question does not apply to this product or service.</v>
      </c>
      <c r="F292" s="210"/>
      <c r="G292" s="196" t="str">
        <f>VLOOKUP($A292,Questions!$A$2:$X$333,21,0)&amp;""</f>
        <v>Yes</v>
      </c>
      <c r="H292" s="197"/>
      <c r="I292" s="198" t="str">
        <f>VLOOKUP($A292,Questions!$A$2:$X$333,23,0)&amp;""</f>
        <v>Standard Importance</v>
      </c>
      <c r="J292" s="197"/>
      <c r="K292" s="199" t="b">
        <f>FALSE()</f>
        <v>0</v>
      </c>
      <c r="L292" s="3"/>
    </row>
    <row r="293" spans="1:12" s="189" customFormat="1" ht="60" customHeight="1" x14ac:dyDescent="0.15">
      <c r="A293" s="36" t="str">
        <f>'Case-Specific'!A70</f>
        <v>PCID-08</v>
      </c>
      <c r="B293" s="37" t="str">
        <f>VLOOKUP($A293,'Case-Specific'!$A$13:$E$85,2,0)&amp;""</f>
        <v>Are you classified as a merchant? If so, what level (1, 2, 3, 4)?</v>
      </c>
      <c r="C293" s="198" t="str">
        <f>VLOOKUP($A293,'Case-Specific'!$A$13:$E$85,3,0)&amp;""</f>
        <v>N/A</v>
      </c>
      <c r="D293" s="70" t="str">
        <f>IF(LEFT(VLOOKUP($A293,'Case-Specific'!$A$13:$E$85,5,0),21)='Auto Responses'!$A$32,'Auto Responses'!$A$33,VLOOKUP($A293,'Case-Specific'!$A$13:$E$85,4,0))&amp;""</f>
        <v>This question does not apply.</v>
      </c>
      <c r="E293" s="204" t="str">
        <f>VLOOKUP($A293,'Case-Specific'!$A$13:$E$85,5,0)&amp;""</f>
        <v>Based on the response to REQU-06 on the "START HERE" tab, this question does not apply to this product or service.</v>
      </c>
      <c r="F293" s="210"/>
      <c r="G293" s="196" t="str">
        <f>VLOOKUP($A293,Questions!$A$2:$X$333,21,0)&amp;""</f>
        <v>Yes</v>
      </c>
      <c r="H293" s="197"/>
      <c r="I293" s="198" t="str">
        <f>VLOOKUP($A293,Questions!$A$2:$X$333,23,0)&amp;""</f>
        <v>Standard Importance</v>
      </c>
      <c r="J293" s="197"/>
      <c r="K293" s="199" t="b">
        <f>FALSE()</f>
        <v>0</v>
      </c>
      <c r="L293" s="3"/>
    </row>
    <row r="294" spans="1:12" s="189" customFormat="1" ht="60" customHeight="1" x14ac:dyDescent="0.15">
      <c r="A294" s="36" t="str">
        <f>'Case-Specific'!A71</f>
        <v>PCID-09</v>
      </c>
      <c r="B294" s="37" t="str">
        <f>VLOOKUP($A294,'Case-Specific'!$A$13:$E$85,2,0)&amp;""</f>
        <v>Describe the architecture employed by the system to verify and authorize credit card transactions.</v>
      </c>
      <c r="C294" s="202" t="str">
        <f>VLOOKUP($A294,'Case-Specific'!$A$13:$E$85,3,0)&amp;""</f>
        <v>N/A</v>
      </c>
      <c r="D294" s="213" t="str">
        <f>IF(LEFT(VLOOKUP($A294,'Case-Specific'!$A$13:$E$85,5,0),21)='Auto Responses'!$A$32,'Auto Responses'!$A$33,VLOOKUP($A294,'Case-Specific'!$A$13:$E$85,4,0))&amp;""</f>
        <v>This question does not apply.</v>
      </c>
      <c r="E294" s="204" t="str">
        <f>VLOOKUP($A294,'Case-Specific'!$A$13:$E$85,5,0)&amp;""</f>
        <v>Based on the response to REQU-06 on the "START HERE" tab, this question does not apply to this product or service.</v>
      </c>
      <c r="F294" s="210"/>
      <c r="G294" s="196" t="str">
        <f>VLOOKUP($A294,Questions!$A$2:$X$333,21,0)&amp;""</f>
        <v>Not scored</v>
      </c>
      <c r="H294" s="197"/>
      <c r="I294" s="198" t="str">
        <f>VLOOKUP($A294,Questions!$A$2:$X$333,23,0)&amp;""</f>
        <v/>
      </c>
      <c r="J294" s="197"/>
      <c r="K294" s="199" t="b">
        <f>FALSE()</f>
        <v>0</v>
      </c>
      <c r="L294" s="3"/>
    </row>
    <row r="295" spans="1:12" s="189" customFormat="1" ht="60" customHeight="1" x14ac:dyDescent="0.15">
      <c r="A295" s="36" t="str">
        <f>'Case-Specific'!A72</f>
        <v>PCID-10</v>
      </c>
      <c r="B295" s="37" t="str">
        <f>VLOOKUP($A295,'Case-Specific'!$A$13:$E$85,2,0)&amp;""</f>
        <v>What payment processors/gateways does the system support?</v>
      </c>
      <c r="C295" s="198" t="str">
        <f>VLOOKUP($A295,'Case-Specific'!$A$13:$E$85,3,0)&amp;""</f>
        <v>N/A</v>
      </c>
      <c r="D295" s="70" t="str">
        <f>IF(LEFT(VLOOKUP($A295,'Case-Specific'!$A$13:$E$85,5,0),21)='Auto Responses'!$A$32,'Auto Responses'!$A$33,VLOOKUP($A295,'Case-Specific'!$A$13:$E$85,4,0))&amp;""</f>
        <v>This question does not apply.</v>
      </c>
      <c r="E295" s="204" t="str">
        <f>VLOOKUP($A295,'Case-Specific'!$A$13:$E$85,5,0)&amp;""</f>
        <v>Based on the response to REQU-06 on the "START HERE" tab, this question does not apply to this product or service.</v>
      </c>
      <c r="F295" s="210"/>
      <c r="G295" s="196" t="str">
        <f>VLOOKUP($A295,Questions!$A$2:$X$333,21,0)&amp;""</f>
        <v>Not scored</v>
      </c>
      <c r="H295" s="197"/>
      <c r="I295" s="198" t="str">
        <f>VLOOKUP($A295,Questions!$A$2:$X$333,23,0)&amp;""</f>
        <v/>
      </c>
      <c r="J295" s="197"/>
      <c r="K295" s="199" t="b">
        <f>FALSE()</f>
        <v>0</v>
      </c>
      <c r="L295" s="3"/>
    </row>
    <row r="296" spans="1:12" s="189" customFormat="1" ht="60" customHeight="1" x14ac:dyDescent="0.15">
      <c r="A296" s="36" t="str">
        <f>'Case-Specific'!A73</f>
        <v>PCID-11</v>
      </c>
      <c r="B296" s="37" t="str">
        <f>VLOOKUP($A296,'Case-Specific'!$A$13:$E$85,2,0)&amp;""</f>
        <v>Can the application be installed in a PCI DSS–compliant manner?</v>
      </c>
      <c r="C296" s="198" t="str">
        <f>VLOOKUP($A296,'Case-Specific'!$A$13:$E$85,3,0)&amp;""</f>
        <v>N/A</v>
      </c>
      <c r="D296" s="70" t="str">
        <f>IF(LEFT(VLOOKUP($A296,'Case-Specific'!$A$13:$E$85,5,0),21)='Auto Responses'!$A$32,'Auto Responses'!$A$33,VLOOKUP($A296,'Case-Specific'!$A$13:$E$85,4,0))&amp;""</f>
        <v>This question does not apply.</v>
      </c>
      <c r="E296" s="204" t="str">
        <f>VLOOKUP($A296,'Case-Specific'!$A$13:$E$85,5,0)&amp;""</f>
        <v>Based on the response to REQU-06 on the "START HERE" tab, this question does not apply to this product or service.</v>
      </c>
      <c r="F296" s="210"/>
      <c r="G296" s="196" t="str">
        <f>VLOOKUP($A296,Questions!$A$2:$X$333,21,0)&amp;""</f>
        <v>Yes</v>
      </c>
      <c r="H296" s="197"/>
      <c r="I296" s="198" t="str">
        <f>VLOOKUP($A296,Questions!$A$2:$X$333,23,0)&amp;""</f>
        <v>Minor Importance</v>
      </c>
      <c r="J296" s="197"/>
      <c r="K296" s="199" t="b">
        <f>FALSE()</f>
        <v>0</v>
      </c>
      <c r="L296" s="3"/>
    </row>
    <row r="297" spans="1:12" s="189" customFormat="1" ht="60" customHeight="1" x14ac:dyDescent="0.15">
      <c r="A297" s="36" t="str">
        <f>'Case-Specific'!A74</f>
        <v>PCID-12</v>
      </c>
      <c r="B297" s="37" t="str">
        <f>VLOOKUP($A297,'Case-Specific'!$A$13:$E$85,2,0)&amp;""</f>
        <v>Include documentation describing the system's abilities to comply with the PCI DSS and any features or capabilities of the system that must be added or changed in order to operate in compliance with the standards.</v>
      </c>
      <c r="C297" s="202" t="str">
        <f>VLOOKUP($A297,'Case-Specific'!$A$13:$E$85,3,0)&amp;""</f>
        <v>N/A</v>
      </c>
      <c r="D297" s="213" t="str">
        <f>IF(LEFT(VLOOKUP($A297,'Case-Specific'!$A$13:$E$85,5,0),21)='Auto Responses'!$A$32,'Auto Responses'!$A$33,VLOOKUP($A297,'Case-Specific'!$A$13:$E$85,4,0))&amp;""</f>
        <v>This question does not apply.</v>
      </c>
      <c r="E297" s="204" t="str">
        <f>VLOOKUP($A297,'Case-Specific'!$A$13:$E$85,5,0)&amp;""</f>
        <v>Based on the response to REQU-06 on the "START HERE" tab, this question does not apply to this product or service.</v>
      </c>
      <c r="F297" s="210"/>
      <c r="G297" s="196" t="str">
        <f>VLOOKUP($A297,Questions!$A$2:$X$333,21,0)&amp;""</f>
        <v>Not scored</v>
      </c>
      <c r="H297" s="197"/>
      <c r="I297" s="198" t="str">
        <f>VLOOKUP($A297,Questions!$A$2:$X$333,23,0)&amp;""</f>
        <v/>
      </c>
      <c r="J297" s="197"/>
      <c r="K297" s="199" t="b">
        <f>FALSE()</f>
        <v>0</v>
      </c>
      <c r="L297" s="3"/>
    </row>
    <row r="298" spans="1:12" s="3" customFormat="1" ht="17.25" customHeight="1" x14ac:dyDescent="0.15">
      <c r="A298" s="32" t="str">
        <f>VLOOKUP(LEFT($A299,4),'Auto Responses'!$N$4:$O$38,2,0)&amp;""</f>
        <v xml:space="preserve"> On-Premises Data Solutions</v>
      </c>
      <c r="B298" s="41"/>
      <c r="C298" s="42"/>
      <c r="D298" s="42"/>
      <c r="E298" s="203"/>
      <c r="F298" s="191" t="s">
        <v>468</v>
      </c>
      <c r="G298" s="200" t="s">
        <v>463</v>
      </c>
      <c r="H298" s="200" t="s">
        <v>464</v>
      </c>
      <c r="I298" s="200" t="s">
        <v>465</v>
      </c>
      <c r="J298" s="200" t="s">
        <v>466</v>
      </c>
      <c r="K298" s="200" t="s">
        <v>467</v>
      </c>
    </row>
    <row r="299" spans="1:12" s="189" customFormat="1" ht="27" customHeight="1" x14ac:dyDescent="0.15">
      <c r="A299" s="36" t="str">
        <f>'Case-Specific'!A76</f>
        <v>OPEM-01</v>
      </c>
      <c r="B299" s="37" t="str">
        <f>VLOOKUP($A299,'Case-Specific'!$A$13:$E$85,2,0)&amp;""</f>
        <v>Do you support role-based access control (RBAC) for system administrators?</v>
      </c>
      <c r="C299" s="198" t="str">
        <f>VLOOKUP($A299,'Case-Specific'!$A$13:$E$85,3,0)&amp;""</f>
        <v>N/A</v>
      </c>
      <c r="D299" s="70" t="str">
        <f>IF(LEFT(VLOOKUP($A299,'Case-Specific'!$A$13:$E$85,5,0),21)='Auto Responses'!$A$32,'Auto Responses'!$A$33,VLOOKUP($A299,'Case-Specific'!$A$13:$E$85,4,0))&amp;""</f>
        <v>This question does not apply.</v>
      </c>
      <c r="E299" s="204" t="str">
        <f>VLOOKUP($A299,'Case-Specific'!$A$13:$E$85,5,0)&amp;""</f>
        <v>Based on the response to REQU-07 on the "START HERE" tab, this question does not apply to this product or service.</v>
      </c>
      <c r="F299" s="210"/>
      <c r="G299" s="196" t="str">
        <f>VLOOKUP($A299,Questions!$A$2:$X$333,21,0)&amp;""</f>
        <v>Yes</v>
      </c>
      <c r="H299" s="197"/>
      <c r="I299" s="198" t="str">
        <f>VLOOKUP($A299,Questions!$A$2:$X$333,23,0)&amp;""</f>
        <v>Standard Importance</v>
      </c>
      <c r="J299" s="197"/>
      <c r="K299" s="199" t="b">
        <f>FALSE()</f>
        <v>0</v>
      </c>
      <c r="L299" s="3"/>
    </row>
    <row r="300" spans="1:12" s="189" customFormat="1" ht="15" customHeight="1" x14ac:dyDescent="0.15">
      <c r="A300" s="36" t="str">
        <f>'Case-Specific'!A77</f>
        <v>OPEM-02</v>
      </c>
      <c r="B300" s="37" t="str">
        <f>VLOOKUP($A300,'Case-Specific'!$A$13:$E$85,2,0)&amp;""</f>
        <v>Can your employees access customer systems remotely?</v>
      </c>
      <c r="C300" s="198" t="str">
        <f>VLOOKUP($A300,'Case-Specific'!$A$13:$E$85,3,0)&amp;""</f>
        <v>N/A</v>
      </c>
      <c r="D300" s="70" t="str">
        <f>IF(LEFT(VLOOKUP($A300,'Case-Specific'!$A$13:$E$85,5,0),21)='Auto Responses'!$A$32,'Auto Responses'!$A$33,VLOOKUP($A300,'Case-Specific'!$A$13:$E$85,4,0))&amp;""</f>
        <v>This question does not apply.</v>
      </c>
      <c r="E300" s="204" t="str">
        <f>VLOOKUP($A300,'Case-Specific'!$A$13:$E$85,5,0)&amp;""</f>
        <v>Based on the response to REQU-07 on the "START HERE" tab, this question does not apply to this product or service.</v>
      </c>
      <c r="F300" s="210"/>
      <c r="G300" s="196" t="str">
        <f>VLOOKUP($A300,Questions!$A$2:$X$333,21,0)&amp;""</f>
        <v>No</v>
      </c>
      <c r="H300" s="197"/>
      <c r="I300" s="198" t="str">
        <f>VLOOKUP($A300,Questions!$A$2:$X$333,23,0)&amp;""</f>
        <v>Standard Importance</v>
      </c>
      <c r="J300" s="197"/>
      <c r="K300" s="199" t="b">
        <f>FALSE()</f>
        <v>0</v>
      </c>
      <c r="L300" s="3"/>
    </row>
    <row r="301" spans="1:12" s="189" customFormat="1" ht="40.5" customHeight="1" x14ac:dyDescent="0.15">
      <c r="A301" s="36" t="str">
        <f>'Case-Specific'!A78</f>
        <v>OPEM-03</v>
      </c>
      <c r="B301" s="37" t="str">
        <f>VLOOKUP($A301,'Case-Specific'!$A$13:$E$85,2,0)&amp;""</f>
        <v>Can you provide overall system and/or application architecture diagrams including a full description of the data communications architecture for all components of the system?</v>
      </c>
      <c r="C301" s="198" t="str">
        <f>VLOOKUP($A301,'Case-Specific'!$A$13:$E$85,3,0)&amp;""</f>
        <v>N/A</v>
      </c>
      <c r="D301" s="70" t="str">
        <f>IF(LEFT(VLOOKUP($A301,'Case-Specific'!$A$13:$E$85,5,0),21)='Auto Responses'!$A$32,'Auto Responses'!$A$33,VLOOKUP($A301,'Case-Specific'!$A$13:$E$85,4,0))&amp;""</f>
        <v>This question does not apply.</v>
      </c>
      <c r="E301" s="204" t="str">
        <f>VLOOKUP($A301,'Case-Specific'!$A$13:$E$85,5,0)&amp;""</f>
        <v>Based on the response to REQU-07 on the "START HERE" tab, this question does not apply to this product or service.</v>
      </c>
      <c r="F301" s="210"/>
      <c r="G301" s="196" t="str">
        <f>VLOOKUP($A301,Questions!$A$2:$X$333,21,0)&amp;""</f>
        <v>Yes</v>
      </c>
      <c r="H301" s="197"/>
      <c r="I301" s="198" t="str">
        <f>VLOOKUP($A301,Questions!$A$2:$X$333,23,0)&amp;""</f>
        <v>Standard Importance</v>
      </c>
      <c r="J301" s="197"/>
      <c r="K301" s="199" t="b">
        <f>FALSE()</f>
        <v>0</v>
      </c>
      <c r="L301" s="3"/>
    </row>
    <row r="302" spans="1:12" s="189" customFormat="1" ht="15" customHeight="1" x14ac:dyDescent="0.15">
      <c r="A302" s="36" t="str">
        <f>'Case-Specific'!A79</f>
        <v>OPEM-04</v>
      </c>
      <c r="B302" s="37" t="str">
        <f>VLOOKUP($A302,'Case-Specific'!$A$13:$E$85,2,0)&amp;""</f>
        <v>Do you require remote management of the system?</v>
      </c>
      <c r="C302" s="198" t="str">
        <f>VLOOKUP($A302,'Case-Specific'!$A$13:$E$85,3,0)&amp;""</f>
        <v>N/A</v>
      </c>
      <c r="D302" s="70" t="str">
        <f>IF(LEFT(VLOOKUP($A302,'Case-Specific'!$A$13:$E$85,5,0),21)='Auto Responses'!$A$32,'Auto Responses'!$A$33,VLOOKUP($A302,'Case-Specific'!$A$13:$E$85,4,0))&amp;""</f>
        <v>This question does not apply.</v>
      </c>
      <c r="E302" s="204" t="str">
        <f>VLOOKUP($A302,'Case-Specific'!$A$13:$E$85,5,0)&amp;""</f>
        <v>Based on the response to REQU-07 on the "START HERE" tab, this question does not apply to this product or service.</v>
      </c>
      <c r="F302" s="210"/>
      <c r="G302" s="196" t="str">
        <f>VLOOKUP($A302,Questions!$A$2:$X$333,21,0)&amp;""</f>
        <v>No</v>
      </c>
      <c r="H302" s="197"/>
      <c r="I302" s="198" t="str">
        <f>VLOOKUP($A302,Questions!$A$2:$X$333,23,0)&amp;""</f>
        <v>Standard Importance</v>
      </c>
      <c r="J302" s="197"/>
      <c r="K302" s="199" t="b">
        <f>FALSE()</f>
        <v>0</v>
      </c>
      <c r="L302" s="3"/>
    </row>
    <row r="303" spans="1:12" s="189" customFormat="1" ht="27" customHeight="1" x14ac:dyDescent="0.15">
      <c r="A303" s="36" t="str">
        <f>'Case-Specific'!A80</f>
        <v>OPEM-05</v>
      </c>
      <c r="B303" s="37" t="str">
        <f>VLOOKUP($A303,'Case-Specific'!$A$13:$E$85,2,0)&amp;""</f>
        <v>If you answered "yes" to OPEM-04, are your remote actions and changes logged or otherwise visible to the campus?</v>
      </c>
      <c r="C303" s="198" t="str">
        <f>VLOOKUP($A303,'Case-Specific'!$A$13:$E$85,3,0)&amp;""</f>
        <v>N/A</v>
      </c>
      <c r="D303" s="70" t="str">
        <f>IF(LEFT(VLOOKUP($A303,'Case-Specific'!$A$13:$E$85,5,0),21)='Auto Responses'!$A$32,'Auto Responses'!$A$33,VLOOKUP($A303,'Case-Specific'!$A$13:$E$85,4,0))&amp;""</f>
        <v>This question does not apply.</v>
      </c>
      <c r="E303" s="204" t="str">
        <f>VLOOKUP($A303,'Case-Specific'!$A$13:$E$85,5,0)&amp;""</f>
        <v>Based on the response to REQU-07 on the "START HERE" tab, this question does not apply to this product or service.</v>
      </c>
      <c r="F303" s="210"/>
      <c r="G303" s="196" t="str">
        <f>VLOOKUP($A303,Questions!$A$2:$X$333,21,0)&amp;""</f>
        <v>Yes</v>
      </c>
      <c r="H303" s="197"/>
      <c r="I303" s="198" t="str">
        <f>VLOOKUP($A303,Questions!$A$2:$X$333,23,0)&amp;""</f>
        <v>Standard Importance</v>
      </c>
      <c r="J303" s="197"/>
      <c r="K303" s="199" t="b">
        <f>FALSE()</f>
        <v>0</v>
      </c>
      <c r="L303" s="3"/>
    </row>
    <row r="304" spans="1:12" s="189" customFormat="1" ht="27" customHeight="1" x14ac:dyDescent="0.15">
      <c r="A304" s="36" t="str">
        <f>'Case-Specific'!A81</f>
        <v>OPEM-06</v>
      </c>
      <c r="B304" s="37" t="str">
        <f>VLOOKUP($A304,'Case-Specific'!$A$13:$E$85,2,0)&amp;""</f>
        <v>If you maintain remote access to the system, will you handle data in a FERPA-compliant manner?</v>
      </c>
      <c r="C304" s="198" t="str">
        <f>VLOOKUP($A304,'Case-Specific'!$A$13:$E$85,3,0)&amp;""</f>
        <v>N/A</v>
      </c>
      <c r="D304" s="70" t="str">
        <f>IF(LEFT(VLOOKUP($A304,'Case-Specific'!$A$13:$E$85,5,0),21)='Auto Responses'!$A$32,'Auto Responses'!$A$33,VLOOKUP($A304,'Case-Specific'!$A$13:$E$85,4,0))&amp;""</f>
        <v>This question does not apply.</v>
      </c>
      <c r="E304" s="204" t="str">
        <f>VLOOKUP($A304,'Case-Specific'!$A$13:$E$85,5,0)&amp;""</f>
        <v>Based on the response to REQU-07 on the "START HERE" tab, this question does not apply to this product or service.</v>
      </c>
      <c r="F304" s="210"/>
      <c r="G304" s="196" t="str">
        <f>VLOOKUP($A304,Questions!$A$2:$X$333,21,0)&amp;""</f>
        <v>Yes</v>
      </c>
      <c r="H304" s="197"/>
      <c r="I304" s="198" t="str">
        <f>VLOOKUP($A304,Questions!$A$2:$X$333,23,0)&amp;""</f>
        <v>Standard Importance</v>
      </c>
      <c r="J304" s="197"/>
      <c r="K304" s="199" t="b">
        <f>FALSE()</f>
        <v>0</v>
      </c>
      <c r="L304" s="3"/>
    </row>
    <row r="305" spans="1:12" s="189" customFormat="1" ht="27" customHeight="1" x14ac:dyDescent="0.15">
      <c r="A305" s="36" t="str">
        <f>'Case-Specific'!A82</f>
        <v>OPEM-07</v>
      </c>
      <c r="B305" s="37" t="str">
        <f>VLOOKUP($A305,'Case-Specific'!$A$13:$E$85,2,0)&amp;""</f>
        <v>Do you support campus status monitoring through SNMPv3 or other means?</v>
      </c>
      <c r="C305" s="198" t="str">
        <f>VLOOKUP($A305,'Case-Specific'!$A$13:$E$85,3,0)&amp;""</f>
        <v>N/A</v>
      </c>
      <c r="D305" s="70" t="str">
        <f>IF(LEFT(VLOOKUP($A305,'Case-Specific'!$A$13:$E$85,5,0),21)='Auto Responses'!$A$32,'Auto Responses'!$A$33,VLOOKUP($A305,'Case-Specific'!$A$13:$E$85,4,0))&amp;""</f>
        <v>This question does not apply.</v>
      </c>
      <c r="E305" s="201" t="str">
        <f>VLOOKUP($A305,'Case-Specific'!$A$13:$E$85,5,0)&amp;""</f>
        <v>Based on the response to REQU-07 on the "START HERE" tab, this question does not apply to this product or service.</v>
      </c>
      <c r="F305" s="210"/>
      <c r="G305" s="196" t="str">
        <f>VLOOKUP($A305,Questions!$A$2:$X$333,21,0)&amp;""</f>
        <v>Yes</v>
      </c>
      <c r="H305" s="197"/>
      <c r="I305" s="198" t="str">
        <f>VLOOKUP($A305,Questions!$A$2:$X$333,23,0)&amp;""</f>
        <v>Standard Importance</v>
      </c>
      <c r="J305" s="197"/>
      <c r="K305" s="199" t="b">
        <f>FALSE()</f>
        <v>0</v>
      </c>
      <c r="L305" s="3"/>
    </row>
    <row r="306" spans="1:12" s="189" customFormat="1" ht="30" customHeight="1" x14ac:dyDescent="0.15">
      <c r="A306" s="36" t="str">
        <f>'Case-Specific'!A83</f>
        <v>OPEM-08</v>
      </c>
      <c r="B306" s="37" t="str">
        <f>VLOOKUP($A306,'Case-Specific'!$A$13:$E$85,2,0)&amp;""</f>
        <v>Describe or provide a reference to any other safeguards used to monitor for malicious activity.</v>
      </c>
      <c r="C306" s="202" t="str">
        <f>VLOOKUP($A306,'Case-Specific'!$A$13:$E$85,3,0)&amp;""</f>
        <v>N/A</v>
      </c>
      <c r="D306" s="193" t="str">
        <f>IF(LEFT(VLOOKUP($A306,'Case-Specific'!$A$13:$E$85,5,0),21)='Auto Responses'!$A$32,'Auto Responses'!$A$33,VLOOKUP($A306,'Case-Specific'!$A$13:$E$85,4,0))&amp;""</f>
        <v>This question does not apply.</v>
      </c>
      <c r="E306" s="201" t="str">
        <f>VLOOKUP($A306,'Case-Specific'!$A$13:$E$85,5,0)&amp;""</f>
        <v>Based on the response to REQU-07 on the "START HERE" tab, this question does not apply to this product or service.</v>
      </c>
      <c r="F306" s="210"/>
      <c r="G306" s="196" t="str">
        <f>VLOOKUP($A306,Questions!$A$2:$X$333,21,0)&amp;""</f>
        <v>Not scored</v>
      </c>
      <c r="H306" s="197"/>
      <c r="I306" s="198" t="str">
        <f>VLOOKUP($A306,Questions!$A$2:$X$333,23,0)&amp;""</f>
        <v/>
      </c>
      <c r="J306" s="197"/>
      <c r="K306" s="199" t="b">
        <f>FALSE()</f>
        <v>0</v>
      </c>
      <c r="L306" s="3"/>
    </row>
    <row r="307" spans="1:12" s="189" customFormat="1" ht="45" customHeight="1" x14ac:dyDescent="0.15">
      <c r="A307" s="36" t="str">
        <f>'Case-Specific'!A84</f>
        <v>OPEM-09</v>
      </c>
      <c r="B307" s="37" t="str">
        <f>VLOOKUP($A307,'Case-Specific'!$A$13:$E$85,2,0)&amp;""</f>
        <v>Describe how long your organization has conducted business in this area.</v>
      </c>
      <c r="C307" s="202" t="str">
        <f>VLOOKUP($A307,'Case-Specific'!$A$13:$E$85,3,0)&amp;""</f>
        <v>N/A</v>
      </c>
      <c r="D307" s="193" t="str">
        <f>IF(LEFT(VLOOKUP($A307,'Case-Specific'!$A$13:$E$85,5,0),21)='Auto Responses'!$A$32,'Auto Responses'!$A$33,VLOOKUP($A307,'Case-Specific'!$A$13:$E$85,4,0))&amp;""</f>
        <v>This question does not apply.</v>
      </c>
      <c r="E307" s="201" t="str">
        <f>VLOOKUP($A307,'Case-Specific'!$A$13:$E$85,5,0)&amp;""</f>
        <v>Based on the response to REQU-07 on the "START HERE" tab, this question does not apply to this product or service.</v>
      </c>
      <c r="F307" s="210"/>
      <c r="G307" s="196" t="str">
        <f>VLOOKUP($A307,Questions!$A$2:$X$333,21,0)&amp;""</f>
        <v>Not scored</v>
      </c>
      <c r="H307" s="197"/>
      <c r="I307" s="198" t="str">
        <f>VLOOKUP($A307,Questions!$A$2:$X$333,23,0)&amp;""</f>
        <v/>
      </c>
      <c r="J307" s="197"/>
      <c r="K307" s="199" t="b">
        <f>FALSE()</f>
        <v>0</v>
      </c>
      <c r="L307" s="3"/>
    </row>
    <row r="308" spans="1:12" s="189" customFormat="1" ht="15" customHeight="1" x14ac:dyDescent="0.15">
      <c r="A308" s="36" t="str">
        <f>'Case-Specific'!A85</f>
        <v>OPEM-10</v>
      </c>
      <c r="B308" s="37" t="str">
        <f>VLOOKUP($A308,'Case-Specific'!$A$13:$E$85,2,0)&amp;""</f>
        <v>Do you have existing higher education customers?</v>
      </c>
      <c r="C308" s="198" t="str">
        <f>VLOOKUP($A308,'Case-Specific'!$A$13:$E$85,3,0)&amp;""</f>
        <v>N/A</v>
      </c>
      <c r="D308" s="70" t="str">
        <f>IF(LEFT(VLOOKUP($A308,'Case-Specific'!$A$13:$E$85,5,0),21)='Auto Responses'!$A$32,'Auto Responses'!$A$33,VLOOKUP($A308,'Case-Specific'!$A$13:$E$85,4,0))&amp;""</f>
        <v>This question does not apply.</v>
      </c>
      <c r="E308" s="201" t="str">
        <f>VLOOKUP($A308,'Case-Specific'!$A$13:$E$85,5,0)&amp;""</f>
        <v>Based on the response to REQU-07 on the "START HERE" tab, this question does not apply to this product or service.</v>
      </c>
      <c r="F308" s="210"/>
      <c r="G308" s="196" t="str">
        <f>VLOOKUP($A308,Questions!$A$2:$X$333,21,0)&amp;""</f>
        <v>Yes</v>
      </c>
      <c r="H308" s="197"/>
      <c r="I308" s="198" t="str">
        <f>VLOOKUP($A308,Questions!$A$2:$X$333,23,0)&amp;""</f>
        <v>Minor Importance</v>
      </c>
      <c r="J308" s="197"/>
      <c r="K308" s="211" t="b">
        <f>FALSE()</f>
        <v>0</v>
      </c>
      <c r="L308" s="3"/>
    </row>
    <row r="309" spans="1:12" s="3" customFormat="1" ht="17.25" customHeight="1" x14ac:dyDescent="0.15">
      <c r="A309" s="32" t="str">
        <f>VLOOKUP(LEFT($A310,4),'Auto Responses'!$N$4:$O$38,2,0)&amp;""</f>
        <v xml:space="preserve"> AI Qualifying Questions</v>
      </c>
      <c r="B309" s="41"/>
      <c r="C309" s="42"/>
      <c r="D309" s="42"/>
      <c r="E309" s="203"/>
      <c r="F309" s="191" t="s">
        <v>468</v>
      </c>
      <c r="G309" s="200" t="s">
        <v>463</v>
      </c>
      <c r="H309" s="200" t="s">
        <v>464</v>
      </c>
      <c r="I309" s="200" t="s">
        <v>465</v>
      </c>
      <c r="J309" s="200" t="s">
        <v>466</v>
      </c>
      <c r="K309" s="200" t="s">
        <v>467</v>
      </c>
    </row>
    <row r="310" spans="1:12" s="189" customFormat="1" ht="135" customHeight="1" x14ac:dyDescent="0.15">
      <c r="A310" s="36" t="str">
        <f>AI!$A$20</f>
        <v>AIQU-01</v>
      </c>
      <c r="B310" s="37" t="str">
        <f>VLOOKUP($A310,AI!$A$13:$E$55,2,0)&amp;""</f>
        <v>Does your solution leverage machine learning (ML) or do you plan to do so in the next 12 months?</v>
      </c>
      <c r="C310" s="198" t="str">
        <f>VLOOKUP($A310,AI!$A$13:$E$55,3,0)&amp;""</f>
        <v>No</v>
      </c>
      <c r="D310" s="70" t="str">
        <f>IF(LEFT(VLOOKUP($A310,AI!$A$13:$E$55,5,0),21)='Auto Responses'!$A$32,'Auto Responses'!$A$33,VLOOKUP($A310,AI!$A$13:$E$55,4,0))&amp;""</f>
        <v>This question does not apply.</v>
      </c>
      <c r="E310" s="204" t="str">
        <f>VLOOKUP($A310,AI!$A$13:$E$55,5,0)&amp;""</f>
        <v>Based on the response to REQU-04 on the "START HERE" tab, this question does not apply to this product or service.</v>
      </c>
      <c r="F310" s="210"/>
      <c r="G310" s="196" t="str">
        <f>VLOOKUP($A310,Questions!$A$2:$X$333,21,0)&amp;""</f>
        <v>Not scored</v>
      </c>
      <c r="H310" s="197"/>
      <c r="I310" s="198" t="str">
        <f>VLOOKUP($A310,Questions!$A$2:$X$333,23,0)&amp;""</f>
        <v/>
      </c>
      <c r="J310" s="197"/>
      <c r="K310" s="199" t="b">
        <f>FALSE()</f>
        <v>0</v>
      </c>
      <c r="L310" s="3"/>
    </row>
    <row r="311" spans="1:12" s="189" customFormat="1" ht="120" customHeight="1" x14ac:dyDescent="0.15">
      <c r="A311" s="36" t="str">
        <f>AI!$A$21</f>
        <v>AIQU-02</v>
      </c>
      <c r="B311" s="37" t="str">
        <f>VLOOKUP($A311,AI!$A$13:$E$55,2,0)&amp;""</f>
        <v>Does your solution leverage a large language model (LLM) or do you plan to do so in the next 12 months?</v>
      </c>
      <c r="C311" s="198" t="str">
        <f>VLOOKUP($A311,AI!$A$13:$E$55,3,0)&amp;""</f>
        <v>No</v>
      </c>
      <c r="D311" s="70" t="str">
        <f>IF(LEFT(VLOOKUP($A311,AI!$A$13:$E$55,5,0),21)='Auto Responses'!$A$32,'Auto Responses'!$A$33,VLOOKUP($A311,AI!$A$13:$E$55,4,0))&amp;""</f>
        <v>This question does not apply.</v>
      </c>
      <c r="E311" s="204" t="str">
        <f>VLOOKUP($A311,AI!$A$13:$E$55,5,0)&amp;""</f>
        <v>Based on the response to REQU-04 on the "START HERE" tab, this question does not apply to this product or service.</v>
      </c>
      <c r="F311" s="210"/>
      <c r="G311" s="196" t="str">
        <f>VLOOKUP($A311,Questions!$A$2:$X$333,21,0)&amp;""</f>
        <v>Not scored</v>
      </c>
      <c r="H311" s="197"/>
      <c r="I311" s="198" t="str">
        <f>VLOOKUP($A311,Questions!$A$2:$X$333,23,0)&amp;""</f>
        <v/>
      </c>
      <c r="J311" s="197"/>
      <c r="K311" s="199" t="b">
        <f>FALSE()</f>
        <v>0</v>
      </c>
      <c r="L311" s="3"/>
    </row>
    <row r="312" spans="1:12" s="3" customFormat="1" ht="17.25" customHeight="1" x14ac:dyDescent="0.15">
      <c r="A312" s="32" t="str">
        <f>VLOOKUP(LEFT($A313,4),'Auto Responses'!$N$4:$O$38,2,0)&amp;""</f>
        <v xml:space="preserve"> General AI Questions</v>
      </c>
      <c r="B312" s="41"/>
      <c r="C312" s="42"/>
      <c r="D312" s="42"/>
      <c r="E312" s="203"/>
      <c r="F312" s="191" t="s">
        <v>468</v>
      </c>
      <c r="G312" s="200" t="s">
        <v>463</v>
      </c>
      <c r="H312" s="200" t="s">
        <v>464</v>
      </c>
      <c r="I312" s="200" t="s">
        <v>465</v>
      </c>
      <c r="J312" s="200" t="s">
        <v>466</v>
      </c>
      <c r="K312" s="200" t="s">
        <v>467</v>
      </c>
    </row>
    <row r="313" spans="1:12" s="189" customFormat="1" ht="60" customHeight="1" x14ac:dyDescent="0.15">
      <c r="A313" s="36" t="str">
        <f>AI!$A$23</f>
        <v>AIGN-01</v>
      </c>
      <c r="B313" s="37" t="str">
        <f>VLOOKUP($A313,AI!$A$13:$E$55,2,0)&amp;""</f>
        <v>Does your solution have an AI risk model when developing or implementing your solution's AI model?*</v>
      </c>
      <c r="C313" s="198" t="str">
        <f>VLOOKUP($A313,AI!$A$13:$E$55,3,0)&amp;""</f>
        <v>N/A</v>
      </c>
      <c r="D313" s="70" t="str">
        <f>IF(LEFT(VLOOKUP($A313,AI!$A$13:$E$55,5,0),21)='Auto Responses'!$A$32,'Auto Responses'!$A$33,VLOOKUP($A313,AI!$A$13:$E$55,4,0))&amp;""</f>
        <v>This question does not apply.</v>
      </c>
      <c r="E313" s="204" t="str">
        <f>VLOOKUP($A313,AI!$A$13:$E$55,5,0)&amp;""</f>
        <v>Based on the response to REQU-04 on the "START HERE" tab, this question does not apply to this product or service.</v>
      </c>
      <c r="F313" s="210"/>
      <c r="G313" s="196" t="str">
        <f>VLOOKUP($A313,Questions!$A$2:$X$333,21,0)&amp;""</f>
        <v>Yes</v>
      </c>
      <c r="H313" s="197"/>
      <c r="I313" s="198" t="str">
        <f>VLOOKUP($A313,Questions!$A$2:$X$333,23,0)&amp;""</f>
        <v>Critical Importance</v>
      </c>
      <c r="J313" s="197"/>
      <c r="K313" s="199" t="b">
        <f>FALSE()</f>
        <v>0</v>
      </c>
      <c r="L313" s="3"/>
    </row>
    <row r="314" spans="1:12" s="189" customFormat="1" ht="15" customHeight="1" x14ac:dyDescent="0.15">
      <c r="A314" s="36" t="str">
        <f>AI!$A$24</f>
        <v>AIGN-02</v>
      </c>
      <c r="B314" s="37" t="str">
        <f>VLOOKUP($A314,AI!$A$13:$E$55,2,0)&amp;""</f>
        <v>Can your solution's AI features be disabled by tenant and/or user?*</v>
      </c>
      <c r="C314" s="198" t="str">
        <f>VLOOKUP($A314,AI!$A$13:$E$55,3,0)&amp;""</f>
        <v>N/A</v>
      </c>
      <c r="D314" s="70" t="str">
        <f>IF(LEFT(VLOOKUP($A314,AI!$A$13:$E$55,5,0),21)='Auto Responses'!$A$32,'Auto Responses'!$A$33,VLOOKUP($A314,AI!$A$13:$E$55,4,0))&amp;""</f>
        <v>This question does not apply.</v>
      </c>
      <c r="E314" s="204" t="str">
        <f>VLOOKUP($A314,AI!$A$13:$E$55,5,0)&amp;""</f>
        <v>Based on the response to REQU-04 on the "START HERE" tab, this question does not apply to this product or service.</v>
      </c>
      <c r="F314" s="210"/>
      <c r="G314" s="196" t="str">
        <f>VLOOKUP($A314,Questions!$A$2:$X$333,21,0)&amp;""</f>
        <v>Yes</v>
      </c>
      <c r="H314" s="197"/>
      <c r="I314" s="198" t="str">
        <f>VLOOKUP($A314,Questions!$A$2:$X$333,23,0)&amp;""</f>
        <v>Critical Importance</v>
      </c>
      <c r="J314" s="197"/>
      <c r="K314" s="199" t="b">
        <f>FALSE()</f>
        <v>0</v>
      </c>
      <c r="L314" s="3"/>
    </row>
    <row r="315" spans="1:12" s="189" customFormat="1" ht="15" customHeight="1" x14ac:dyDescent="0.15">
      <c r="A315" s="36" t="str">
        <f>AI!$A$25</f>
        <v>AIGN-03</v>
      </c>
      <c r="B315" s="37" t="str">
        <f>VLOOKUP($A315,AI!$A$13:$E$55,2,0)&amp;""</f>
        <v>Have your staff completed responsible AI training?*</v>
      </c>
      <c r="C315" s="198" t="str">
        <f>VLOOKUP($A315,AI!$A$13:$E$55,3,0)&amp;""</f>
        <v>N/A</v>
      </c>
      <c r="D315" s="70" t="str">
        <f>IF(LEFT(VLOOKUP($A315,AI!$A$13:$E$55,5,0),21)='Auto Responses'!$A$32,'Auto Responses'!$A$33,VLOOKUP($A315,AI!$A$13:$E$55,4,0))&amp;""</f>
        <v>This question does not apply.</v>
      </c>
      <c r="E315" s="204" t="str">
        <f>VLOOKUP($A315,AI!$A$13:$E$55,5,0)&amp;""</f>
        <v>Based on the response to REQU-04 on the "START HERE" tab, this question does not apply to this product or service.</v>
      </c>
      <c r="F315" s="210"/>
      <c r="G315" s="196" t="str">
        <f>VLOOKUP($A315,Questions!$A$2:$X$333,21,0)&amp;""</f>
        <v>Yes</v>
      </c>
      <c r="H315" s="197"/>
      <c r="I315" s="198" t="str">
        <f>VLOOKUP($A315,Questions!$A$2:$X$333,23,0)&amp;""</f>
        <v>Critical Importance</v>
      </c>
      <c r="J315" s="197"/>
      <c r="K315" s="199" t="b">
        <f>FALSE()</f>
        <v>0</v>
      </c>
      <c r="L315" s="3"/>
    </row>
    <row r="316" spans="1:12" s="189" customFormat="1" ht="195" customHeight="1" x14ac:dyDescent="0.15">
      <c r="A316" s="36" t="str">
        <f>AI!$A$26</f>
        <v>AIGN-04</v>
      </c>
      <c r="B316" s="37" t="str">
        <f>VLOOKUP($A316,AI!$A$13:$E$55,2,0)&amp;""</f>
        <v>Please describe the capabilities of your solution's AI features.</v>
      </c>
      <c r="C316" s="202" t="str">
        <f>VLOOKUP($A316,AI!$A$13:$E$55,3,0)&amp;""</f>
        <v>N/A</v>
      </c>
      <c r="D316" s="193" t="str">
        <f>IF(LEFT(VLOOKUP($A316,AI!$A$13:$E$55,5,0),21)='Auto Responses'!$A$32,'Auto Responses'!$A$33,VLOOKUP($A316,AI!$A$13:$E$55,4,0))&amp;""</f>
        <v>This question does not apply.</v>
      </c>
      <c r="E316" s="204" t="str">
        <f>VLOOKUP($A316,AI!$A$13:$E$55,5,0)&amp;""</f>
        <v>Based on the response to REQU-04 on the "START HERE" tab, this question does not apply to this product or service.</v>
      </c>
      <c r="F316" s="210"/>
      <c r="G316" s="196" t="str">
        <f>VLOOKUP($A316,Questions!$A$2:$X$333,21,0)&amp;""</f>
        <v>Not scored</v>
      </c>
      <c r="H316" s="197"/>
      <c r="I316" s="198" t="str">
        <f>VLOOKUP($A316,Questions!$A$2:$X$333,23,0)&amp;""</f>
        <v/>
      </c>
      <c r="J316" s="197"/>
      <c r="K316" s="199" t="b">
        <f>FALSE()</f>
        <v>0</v>
      </c>
      <c r="L316" s="3"/>
    </row>
    <row r="317" spans="1:12" s="189" customFormat="1" ht="27" customHeight="1" x14ac:dyDescent="0.15">
      <c r="A317" s="36" t="str">
        <f>AI!$A$27</f>
        <v>AIGN-05</v>
      </c>
      <c r="B317" s="37" t="str">
        <f>VLOOKUP($A317,AI!$A$13:$E$55,2,0)&amp;""</f>
        <v>Does your solution support business rules to protect sensitive data from being ingested by the AI model?</v>
      </c>
      <c r="C317" s="198" t="str">
        <f>VLOOKUP($A317,AI!$A$13:$E$55,3,0)&amp;""</f>
        <v>N/A</v>
      </c>
      <c r="D317" s="70" t="str">
        <f>IF(LEFT(VLOOKUP($A317,AI!$A$13:$E$55,5,0),21)='Auto Responses'!$A$32,'Auto Responses'!$A$33,VLOOKUP($A317,AI!$A$13:$E$55,4,0))&amp;""</f>
        <v>This question does not apply.</v>
      </c>
      <c r="E317" s="204" t="str">
        <f>VLOOKUP($A317,AI!$A$13:$E$55,5,0)&amp;""</f>
        <v>Based on the response to REQU-04 on the "START HERE" tab, this question does not apply to this product or service.</v>
      </c>
      <c r="F317" s="210"/>
      <c r="G317" s="196" t="str">
        <f>VLOOKUP($A317,Questions!$A$2:$X$333,21,0)&amp;""</f>
        <v>Yes</v>
      </c>
      <c r="H317" s="197"/>
      <c r="I317" s="198" t="str">
        <f>VLOOKUP($A317,Questions!$A$2:$X$333,23,0)&amp;""</f>
        <v>Standard Importance</v>
      </c>
      <c r="J317" s="197"/>
      <c r="K317" s="199" t="b">
        <f>FALSE()</f>
        <v>0</v>
      </c>
      <c r="L317" s="3"/>
    </row>
    <row r="318" spans="1:12" s="3" customFormat="1" ht="17.25" customHeight="1" x14ac:dyDescent="0.15">
      <c r="A318" s="32" t="str">
        <f>VLOOKUP(LEFT($A319,4),'Auto Responses'!$N$4:$O$38,2,0)&amp;""</f>
        <v xml:space="preserve"> AI Policy</v>
      </c>
      <c r="B318" s="41"/>
      <c r="C318" s="42"/>
      <c r="D318" s="42"/>
      <c r="E318" s="203"/>
      <c r="F318" s="191" t="s">
        <v>468</v>
      </c>
      <c r="G318" s="200" t="s">
        <v>463</v>
      </c>
      <c r="H318" s="200" t="s">
        <v>464</v>
      </c>
      <c r="I318" s="200" t="s">
        <v>465</v>
      </c>
      <c r="J318" s="200" t="s">
        <v>466</v>
      </c>
      <c r="K318" s="200" t="s">
        <v>467</v>
      </c>
    </row>
    <row r="319" spans="1:12" s="189" customFormat="1" ht="54" customHeight="1" x14ac:dyDescent="0.15">
      <c r="A319" s="36" t="str">
        <f>AI!$A$29</f>
        <v>AIPL-01</v>
      </c>
      <c r="B319" s="37" t="str">
        <f>VLOOKUP($A319,AI!$A$13:$E$55,2,0)&amp;""</f>
        <v>Are your AI developer's policies, processes, procedures, and practices across the organization related to the mapping, measuring, and managing of AI risks conspicuously posted, unambiguous, and implemented effectively?*</v>
      </c>
      <c r="C319" s="198" t="str">
        <f>VLOOKUP($A319,AI!$A$13:$E$55,3,0)&amp;""</f>
        <v>N/A</v>
      </c>
      <c r="D319" s="70" t="str">
        <f>IF(LEFT(VLOOKUP($A319,AI!$A$13:$E$55,5,0),21)='Auto Responses'!$A$32,'Auto Responses'!$A$33,VLOOKUP($A319,AI!$A$13:$E$55,4,0))&amp;""</f>
        <v>This question does not apply.</v>
      </c>
      <c r="E319" s="204" t="str">
        <f>VLOOKUP($A319,AI!$A$13:$E$55,5,0)&amp;""</f>
        <v>Based on the response to REQU-04 on the "START HERE" tab, this question does not apply to this product or service.</v>
      </c>
      <c r="F319" s="210"/>
      <c r="G319" s="196" t="str">
        <f>VLOOKUP($A319,Questions!$A$2:$X$333,21,0)&amp;""</f>
        <v>Yes</v>
      </c>
      <c r="H319" s="197"/>
      <c r="I319" s="198" t="str">
        <f>VLOOKUP($A319,Questions!$A$2:$X$333,23,0)&amp;""</f>
        <v>Critical Importance</v>
      </c>
      <c r="J319" s="197"/>
      <c r="K319" s="199" t="b">
        <f>FALSE()</f>
        <v>0</v>
      </c>
      <c r="L319" s="3"/>
    </row>
    <row r="320" spans="1:12" s="189" customFormat="1" ht="15" customHeight="1" x14ac:dyDescent="0.15">
      <c r="A320" s="36" t="str">
        <f>AI!$A$30</f>
        <v>AIPL-02</v>
      </c>
      <c r="B320" s="37" t="str">
        <f>VLOOKUP($A320,AI!$A$13:$E$55,2,0)&amp;""</f>
        <v>Have you identified and measured AI risks?*</v>
      </c>
      <c r="C320" s="198" t="str">
        <f>VLOOKUP($A320,AI!$A$13:$E$55,3,0)&amp;""</f>
        <v>N/A</v>
      </c>
      <c r="D320" s="70" t="str">
        <f>IF(LEFT(VLOOKUP($A320,AI!$A$13:$E$55,5,0),21)='Auto Responses'!$A$32,'Auto Responses'!$A$33,VLOOKUP($A320,AI!$A$13:$E$55,4,0))&amp;""</f>
        <v>This question does not apply.</v>
      </c>
      <c r="E320" s="204" t="str">
        <f>VLOOKUP($A320,AI!$A$13:$E$55,5,0)&amp;""</f>
        <v>Based on the response to REQU-04 on the "START HERE" tab, this question does not apply to this product or service.</v>
      </c>
      <c r="F320" s="210"/>
      <c r="G320" s="196" t="str">
        <f>VLOOKUP($A320,Questions!$A$2:$X$333,21,0)&amp;""</f>
        <v>Yes</v>
      </c>
      <c r="H320" s="197"/>
      <c r="I320" s="198" t="str">
        <f>VLOOKUP($A320,Questions!$A$2:$X$333,23,0)&amp;""</f>
        <v>Critical Importance</v>
      </c>
      <c r="J320" s="197"/>
      <c r="K320" s="199" t="b">
        <f>FALSE()</f>
        <v>0</v>
      </c>
      <c r="L320" s="3"/>
    </row>
    <row r="321" spans="1:12" s="189" customFormat="1" ht="27" customHeight="1" x14ac:dyDescent="0.15">
      <c r="A321" s="36" t="str">
        <f>AI!$A$31</f>
        <v>AIPL-03</v>
      </c>
      <c r="B321" s="37" t="str">
        <f>VLOOKUP($A321,AI!$A$13:$E$55,2,0)&amp;""</f>
        <v>In the event of an incident, can your solution's AI features be disabled in a timely manner?*</v>
      </c>
      <c r="C321" s="198" t="str">
        <f>VLOOKUP($A321,AI!$A$13:$E$55,3,0)&amp;""</f>
        <v>N/A</v>
      </c>
      <c r="D321" s="70" t="str">
        <f>IF(LEFT(VLOOKUP($A321,AI!$A$13:$E$55,5,0),21)='Auto Responses'!$A$32,'Auto Responses'!$A$33,VLOOKUP($A321,AI!$A$13:$E$55,4,0))&amp;""</f>
        <v>This question does not apply.</v>
      </c>
      <c r="E321" s="204" t="str">
        <f>VLOOKUP($A321,AI!$A$13:$E$55,5,0)&amp;""</f>
        <v>Based on the response to REQU-04 on the "START HERE" tab, this question does not apply to this product or service.</v>
      </c>
      <c r="F321" s="210"/>
      <c r="G321" s="196" t="str">
        <f>VLOOKUP($A321,Questions!$A$2:$X$333,21,0)&amp;""</f>
        <v>Yes</v>
      </c>
      <c r="H321" s="197"/>
      <c r="I321" s="198" t="str">
        <f>VLOOKUP($A321,Questions!$A$2:$X$333,23,0)&amp;""</f>
        <v>Critical Importance</v>
      </c>
      <c r="J321" s="197"/>
      <c r="K321" s="199" t="b">
        <f>FALSE()</f>
        <v>0</v>
      </c>
      <c r="L321" s="3"/>
    </row>
    <row r="322" spans="1:12" s="189" customFormat="1" ht="27" customHeight="1" x14ac:dyDescent="0.15">
      <c r="A322" s="36" t="str">
        <f>AI!$A$32</f>
        <v>AIPL-04</v>
      </c>
      <c r="B322" s="37" t="str">
        <f>VLOOKUP($A322,AI!$A$13:$E$55,2,0)&amp;""</f>
        <v>If disabled because of an incident, can your solution's AI features be re-enabled in a timely manner?*</v>
      </c>
      <c r="C322" s="198" t="str">
        <f>VLOOKUP($A322,AI!$A$13:$E$55,3,0)&amp;""</f>
        <v>N/A</v>
      </c>
      <c r="D322" s="70" t="str">
        <f>IF(LEFT(VLOOKUP($A322,AI!$A$13:$E$55,5,0),21)='Auto Responses'!$A$32,'Auto Responses'!$A$33,VLOOKUP($A322,AI!$A$13:$E$55,4,0))&amp;""</f>
        <v>This question does not apply.</v>
      </c>
      <c r="E322" s="204" t="str">
        <f>VLOOKUP($A322,AI!$A$13:$E$55,5,0)&amp;""</f>
        <v>Based on the response to REQU-04 on the "START HERE" tab, this question does not apply to this product or service.</v>
      </c>
      <c r="F322" s="210"/>
      <c r="G322" s="196" t="str">
        <f>VLOOKUP($A322,Questions!$A$2:$X$333,21,0)&amp;""</f>
        <v>Yes</v>
      </c>
      <c r="H322" s="197"/>
      <c r="I322" s="198" t="str">
        <f>VLOOKUP($A322,Questions!$A$2:$X$333,23,0)&amp;""</f>
        <v>Critical Importance</v>
      </c>
      <c r="J322" s="197"/>
      <c r="K322" s="199" t="b">
        <f>FALSE()</f>
        <v>0</v>
      </c>
      <c r="L322" s="3"/>
    </row>
    <row r="323" spans="1:12" s="189" customFormat="1" ht="45" customHeight="1" x14ac:dyDescent="0.15">
      <c r="A323" s="36" t="str">
        <f>AI!$A$33</f>
        <v>AIPL-05</v>
      </c>
      <c r="B323" s="37" t="str">
        <f>VLOOKUP($A323,AI!$A$13:$E$55,2,0)&amp;""</f>
        <v>Do you have documented technical and procedural processes to address potential negative impacts of AI as described by the AI Risk Management Framework (RMF)?</v>
      </c>
      <c r="C323" s="198" t="str">
        <f>VLOOKUP($A323,AI!$A$13:$E$55,3,0)&amp;""</f>
        <v>N/A</v>
      </c>
      <c r="D323" s="70" t="str">
        <f>IF(LEFT(VLOOKUP($A323,AI!$A$13:$E$55,5,0),21)='Auto Responses'!$A$32,'Auto Responses'!$A$33,VLOOKUP($A323,AI!$A$13:$E$55,4,0))&amp;""</f>
        <v>This question does not apply.</v>
      </c>
      <c r="E323" s="204" t="str">
        <f>VLOOKUP($A323,AI!$A$13:$E$55,5,0)&amp;""</f>
        <v>Based on the response to REQU-04 on the "START HERE" tab, this question does not apply to this product or service.</v>
      </c>
      <c r="F323" s="210"/>
      <c r="G323" s="196" t="str">
        <f>VLOOKUP($A323,Questions!$A$2:$X$333,21,0)&amp;""</f>
        <v>Yes</v>
      </c>
      <c r="H323" s="197"/>
      <c r="I323" s="198" t="str">
        <f>VLOOKUP($A323,Questions!$A$2:$X$333,23,0)&amp;""</f>
        <v>Minor Importance</v>
      </c>
      <c r="J323" s="197"/>
      <c r="K323" s="199" t="b">
        <f>FALSE()</f>
        <v>0</v>
      </c>
      <c r="L323" s="3"/>
    </row>
    <row r="324" spans="1:12" s="3" customFormat="1" ht="17.25" customHeight="1" x14ac:dyDescent="0.15">
      <c r="A324" s="32" t="str">
        <f>VLOOKUP(LEFT($A325,4),'Auto Responses'!$N$4:$O$38,2,0)&amp;""</f>
        <v xml:space="preserve"> AI Data Security</v>
      </c>
      <c r="B324" s="41"/>
      <c r="C324" s="42"/>
      <c r="D324" s="42"/>
      <c r="E324" s="203"/>
      <c r="F324" s="191" t="s">
        <v>468</v>
      </c>
      <c r="G324" s="200" t="s">
        <v>463</v>
      </c>
      <c r="H324" s="200" t="s">
        <v>464</v>
      </c>
      <c r="I324" s="200" t="s">
        <v>465</v>
      </c>
      <c r="J324" s="200" t="s">
        <v>466</v>
      </c>
      <c r="K324" s="200" t="s">
        <v>467</v>
      </c>
    </row>
    <row r="325" spans="1:12" s="189" customFormat="1" ht="315" customHeight="1" x14ac:dyDescent="0.15">
      <c r="A325" s="36" t="str">
        <f>AI!$A$35</f>
        <v>AISC-01</v>
      </c>
      <c r="B325" s="37" t="str">
        <f>VLOOKUP($A325,AI!$A$13:$E$55,2,0)&amp;""</f>
        <v>If sensitive data is introduced to your solution's AI model, can the data be removed from the AI model by request?*</v>
      </c>
      <c r="C325" s="198" t="str">
        <f>VLOOKUP($A325,AI!$A$13:$E$55,3,0)&amp;""</f>
        <v>N/A</v>
      </c>
      <c r="D325" s="70" t="str">
        <f>IF(LEFT(VLOOKUP($A325,AI!$A$13:$E$55,5,0),21)='Auto Responses'!$A$32,'Auto Responses'!$A$33,VLOOKUP($A325,AI!$A$13:$E$55,4,0))&amp;""</f>
        <v>This question does not apply.</v>
      </c>
      <c r="E325" s="204" t="str">
        <f>VLOOKUP($A325,AI!$A$13:$E$55,5,0)&amp;""</f>
        <v>Based on the response to REQU-04 on the "START HERE" tab, this question does not apply to this product or service.</v>
      </c>
      <c r="F325" s="210"/>
      <c r="G325" s="196" t="str">
        <f>VLOOKUP($A325,Questions!$A$2:$X$333,21,0)&amp;""</f>
        <v>Yes</v>
      </c>
      <c r="H325" s="197"/>
      <c r="I325" s="198" t="str">
        <f>VLOOKUP($A325,Questions!$A$2:$X$333,23,0)&amp;""</f>
        <v>Critical Importance</v>
      </c>
      <c r="J325" s="197"/>
      <c r="K325" s="199" t="b">
        <f>FALSE()</f>
        <v>0</v>
      </c>
      <c r="L325" s="3"/>
    </row>
    <row r="326" spans="1:12" s="189" customFormat="1" ht="210" customHeight="1" x14ac:dyDescent="0.15">
      <c r="A326" s="36" t="str">
        <f>AI!$A$36</f>
        <v>AISC-02</v>
      </c>
      <c r="B326" s="37" t="str">
        <f>VLOOKUP($A326,AI!$A$13:$E$55,2,0)&amp;""</f>
        <v>Is user input data used to influence your solution's AI model?*</v>
      </c>
      <c r="C326" s="198" t="str">
        <f>VLOOKUP($A326,AI!$A$13:$E$55,3,0)&amp;""</f>
        <v>N/A</v>
      </c>
      <c r="D326" s="70" t="str">
        <f>IF(LEFT(VLOOKUP($A326,AI!$A$13:$E$55,5,0),21)='Auto Responses'!$A$32,'Auto Responses'!$A$33,VLOOKUP($A326,AI!$A$13:$E$55,4,0))&amp;""</f>
        <v>This question does not apply.</v>
      </c>
      <c r="E326" s="204" t="str">
        <f>VLOOKUP($A326,AI!$A$13:$E$55,5,0)&amp;""</f>
        <v>Based on the response to REQU-04 on the "START HERE" tab, this question does not apply to this product or service.</v>
      </c>
      <c r="F326" s="210"/>
      <c r="G326" s="196" t="str">
        <f>VLOOKUP($A326,Questions!$A$2:$X$333,21,0)&amp;""</f>
        <v>No</v>
      </c>
      <c r="H326" s="197"/>
      <c r="I326" s="198" t="str">
        <f>VLOOKUP($A326,Questions!$A$2:$X$333,23,0)&amp;""</f>
        <v>Critical Importance</v>
      </c>
      <c r="J326" s="197"/>
      <c r="K326" s="199" t="b">
        <f>FALSE()</f>
        <v>0</v>
      </c>
      <c r="L326" s="3"/>
    </row>
    <row r="327" spans="1:12" s="189" customFormat="1" ht="180" customHeight="1" x14ac:dyDescent="0.15">
      <c r="A327" s="36" t="str">
        <f>AI!$A$37</f>
        <v>AISC-03</v>
      </c>
      <c r="B327" s="37" t="str">
        <f>VLOOKUP($A327,AI!$A$13:$E$55,2,0)&amp;""</f>
        <v>Do you provide logging for your solution's AI feature(s) that includes user, date, and action taken?*</v>
      </c>
      <c r="C327" s="198" t="str">
        <f>VLOOKUP($A327,AI!$A$13:$E$55,3,0)&amp;""</f>
        <v>N/A</v>
      </c>
      <c r="D327" s="70" t="str">
        <f>IF(LEFT(VLOOKUP($A327,AI!$A$13:$E$55,5,0),21)='Auto Responses'!$A$32,'Auto Responses'!$A$33,VLOOKUP($A327,AI!$A$13:$E$55,4,0))&amp;""</f>
        <v>This question does not apply.</v>
      </c>
      <c r="E327" s="204" t="str">
        <f>VLOOKUP($A327,AI!$A$13:$E$55,5,0)&amp;""</f>
        <v>Based on the response to REQU-04 on the "START HERE" tab, this question does not apply to this product or service.</v>
      </c>
      <c r="F327" s="210"/>
      <c r="G327" s="196" t="str">
        <f>VLOOKUP($A327,Questions!$A$2:$X$333,21,0)&amp;""</f>
        <v>Yes</v>
      </c>
      <c r="H327" s="197"/>
      <c r="I327" s="198" t="str">
        <f>VLOOKUP($A327,Questions!$A$2:$X$333,23,0)&amp;""</f>
        <v>Critical Importance</v>
      </c>
      <c r="J327" s="197"/>
      <c r="K327" s="199" t="b">
        <f>FALSE()</f>
        <v>0</v>
      </c>
      <c r="L327" s="3"/>
    </row>
    <row r="328" spans="1:12" s="189" customFormat="1" ht="165" customHeight="1" x14ac:dyDescent="0.15">
      <c r="A328" s="36" t="str">
        <f>AI!$A$38</f>
        <v>AISC-04</v>
      </c>
      <c r="B328" s="37" t="str">
        <f>VLOOKUP($A328,AI!$A$13:$E$55,2,0)&amp;""</f>
        <v>Please describe how you validate user inputs.</v>
      </c>
      <c r="C328" s="202" t="str">
        <f>VLOOKUP($A328,AI!$A$13:$E$55,3,0)&amp;""</f>
        <v>N/A</v>
      </c>
      <c r="D328" s="193" t="str">
        <f>IF(LEFT(VLOOKUP($A328,AI!$A$13:$E$55,5,0),21)='Auto Responses'!$A$32,'Auto Responses'!$A$33,VLOOKUP($A328,AI!$A$13:$E$55,4,0))&amp;""</f>
        <v>This question does not apply.</v>
      </c>
      <c r="E328" s="201" t="str">
        <f>VLOOKUP($A328,AI!$A$13:$E$55,5,0)&amp;""</f>
        <v>Based on the response to REQU-04 on the "START HERE" tab, this question does not apply to this product or service.</v>
      </c>
      <c r="F328" s="210"/>
      <c r="G328" s="196" t="str">
        <f>VLOOKUP($A328,Questions!$A$2:$X$333,21,0)&amp;""</f>
        <v>Not scored</v>
      </c>
      <c r="H328" s="197"/>
      <c r="I328" s="198" t="str">
        <f>VLOOKUP($A328,Questions!$A$2:$X$333,23,0)&amp;""</f>
        <v/>
      </c>
      <c r="J328" s="197"/>
      <c r="K328" s="199" t="b">
        <f>FALSE()</f>
        <v>0</v>
      </c>
      <c r="L328" s="3"/>
    </row>
    <row r="329" spans="1:12" s="189" customFormat="1" ht="15" customHeight="1" x14ac:dyDescent="0.15">
      <c r="A329" s="36" t="str">
        <f>AI!$A$39</f>
        <v>AISC-05</v>
      </c>
      <c r="B329" s="37" t="str">
        <f>VLOOKUP($A329,AI!$A$13:$E$55,2,0)&amp;""</f>
        <v>Do you plan for and mitigate supply-chain risk related to your AI features?</v>
      </c>
      <c r="C329" s="198" t="str">
        <f>VLOOKUP($A329,AI!$A$13:$E$55,3,0)&amp;""</f>
        <v>N/A</v>
      </c>
      <c r="D329" s="70" t="str">
        <f>IF(LEFT(VLOOKUP($A329,AI!$A$13:$E$55,5,0),21)='Auto Responses'!$A$32,'Auto Responses'!$A$33,VLOOKUP($A329,AI!$A$13:$E$55,4,0))&amp;""</f>
        <v>This question does not apply.</v>
      </c>
      <c r="E329" s="204" t="str">
        <f>VLOOKUP($A329,AI!$A$13:$E$55,5,0)&amp;""</f>
        <v>Based on the response to REQU-04 on the "START HERE" tab, this question does not apply to this product or service.</v>
      </c>
      <c r="F329" s="210"/>
      <c r="G329" s="196" t="str">
        <f>VLOOKUP($A329,Questions!$A$2:$X$333,21,0)&amp;""</f>
        <v>Yes</v>
      </c>
      <c r="H329" s="197"/>
      <c r="I329" s="198" t="str">
        <f>VLOOKUP($A329,Questions!$A$2:$X$333,23,0)&amp;""</f>
        <v>Standard Importance</v>
      </c>
      <c r="J329" s="197"/>
      <c r="K329" s="199" t="b">
        <f>FALSE()</f>
        <v>0</v>
      </c>
      <c r="L329" s="3"/>
    </row>
    <row r="330" spans="1:12" s="3" customFormat="1" ht="17.25" customHeight="1" x14ac:dyDescent="0.15">
      <c r="A330" s="32" t="str">
        <f>VLOOKUP(LEFT($A331,4),'Auto Responses'!$N$4:$O$38,2,0)&amp;""</f>
        <v xml:space="preserve"> AI Machine Learning</v>
      </c>
      <c r="B330" s="41"/>
      <c r="C330" s="42"/>
      <c r="D330" s="42"/>
      <c r="E330" s="203"/>
      <c r="F330" s="191" t="s">
        <v>468</v>
      </c>
      <c r="G330" s="200" t="s">
        <v>463</v>
      </c>
      <c r="H330" s="200" t="s">
        <v>464</v>
      </c>
      <c r="I330" s="200" t="s">
        <v>465</v>
      </c>
      <c r="J330" s="200" t="s">
        <v>466</v>
      </c>
      <c r="K330" s="200" t="s">
        <v>467</v>
      </c>
    </row>
    <row r="331" spans="1:12" s="189" customFormat="1" ht="210" customHeight="1" x14ac:dyDescent="0.15">
      <c r="A331" s="36" t="str">
        <f>AI!$A$41</f>
        <v>AIML-01</v>
      </c>
      <c r="B331" s="37" t="str">
        <f>VLOOKUP($A331,AI!$A$13:$E$55,2,0)&amp;""</f>
        <v>Do you separate ML training data from your ML solution data?*</v>
      </c>
      <c r="C331" s="198" t="str">
        <f>VLOOKUP($A331,AI!$A$13:$E$55,3,0)&amp;""</f>
        <v>N/A</v>
      </c>
      <c r="D331" s="70" t="str">
        <f>IF(LEFT(VLOOKUP($A331,AI!$A$13:$E$55,5,0),21)='Auto Responses'!$A$32,'Auto Responses'!$A$33,VLOOKUP($A331,AI!$A$13:$E$55,4,0))&amp;""</f>
        <v>This question does not apply.</v>
      </c>
      <c r="E331" s="204" t="str">
        <f>VLOOKUP($A331,AI!$A$13:$E$55,5,0)&amp;""</f>
        <v>Based on the response to REQU-04 on the "START HERE" tab, this question does not apply to this product or service.</v>
      </c>
      <c r="F331" s="210"/>
      <c r="G331" s="196" t="str">
        <f>VLOOKUP($A331,Questions!$A$2:$X$333,21,0)&amp;""</f>
        <v>Yes</v>
      </c>
      <c r="H331" s="197"/>
      <c r="I331" s="198" t="str">
        <f>VLOOKUP($A331,Questions!$A$2:$X$333,23,0)&amp;""</f>
        <v>Critical Importance</v>
      </c>
      <c r="J331" s="197"/>
      <c r="K331" s="199" t="b">
        <f>FALSE()</f>
        <v>0</v>
      </c>
      <c r="L331" s="3"/>
    </row>
    <row r="332" spans="1:12" s="189" customFormat="1" ht="15" customHeight="1" x14ac:dyDescent="0.15">
      <c r="A332" s="36" t="str">
        <f>AI!$A$42</f>
        <v>AIML-02</v>
      </c>
      <c r="B332" s="37" t="str">
        <f>VLOOKUP($A332,AI!$A$13:$E$55,2,0)&amp;""</f>
        <v>Do you authenticate and verify your ML model's feedback?*</v>
      </c>
      <c r="C332" s="198" t="str">
        <f>VLOOKUP($A332,AI!$A$13:$E$55,3,0)&amp;""</f>
        <v>N/A</v>
      </c>
      <c r="D332" s="70" t="str">
        <f>IF(LEFT(VLOOKUP($A332,AI!$A$13:$E$55,5,0),21)='Auto Responses'!$A$32,'Auto Responses'!$A$33,VLOOKUP($A332,AI!$A$13:$E$55,4,0))&amp;""</f>
        <v>This question does not apply.</v>
      </c>
      <c r="E332" s="204" t="str">
        <f>VLOOKUP($A332,AI!$A$13:$E$55,5,0)&amp;""</f>
        <v>Based on the response to REQU-04 on the "START HERE" tab, this question does not apply to this product or service.</v>
      </c>
      <c r="F332" s="210"/>
      <c r="G332" s="196" t="str">
        <f>VLOOKUP($A332,Questions!$A$2:$X$333,21,0)&amp;""</f>
        <v>Yes</v>
      </c>
      <c r="H332" s="197"/>
      <c r="I332" s="198" t="str">
        <f>VLOOKUP($A332,Questions!$A$2:$X$333,23,0)&amp;""</f>
        <v>Critical Importance</v>
      </c>
      <c r="J332" s="197"/>
      <c r="K332" s="199" t="b">
        <f>FALSE()</f>
        <v>0</v>
      </c>
      <c r="L332" s="3"/>
    </row>
    <row r="333" spans="1:12" s="189" customFormat="1" ht="27" customHeight="1" x14ac:dyDescent="0.15">
      <c r="A333" s="36" t="str">
        <f>AI!$A$43</f>
        <v>AIML-03</v>
      </c>
      <c r="B333" s="37" t="str">
        <f>VLOOKUP($A333,AI!$A$13:$E$55,2,0)&amp;""</f>
        <v>Is your ML training data vetted, validated, and verified before training the solution's AI model?</v>
      </c>
      <c r="C333" s="198" t="str">
        <f>VLOOKUP($A333,AI!$A$13:$E$55,3,0)&amp;""</f>
        <v>N/A</v>
      </c>
      <c r="D333" s="70" t="str">
        <f>IF(LEFT(VLOOKUP($A333,AI!$A$13:$E$55,5,0),21)='Auto Responses'!$A$32,'Auto Responses'!$A$33,VLOOKUP($A333,AI!$A$13:$E$55,4,0))&amp;""</f>
        <v>This question does not apply.</v>
      </c>
      <c r="E333" s="204" t="str">
        <f>VLOOKUP($A333,AI!$A$13:$E$55,5,0)&amp;""</f>
        <v>Based on the response to REQU-04 on the "START HERE" tab, this question does not apply to this product or service.</v>
      </c>
      <c r="F333" s="210"/>
      <c r="G333" s="196" t="str">
        <f>VLOOKUP($A333,Questions!$A$2:$X$333,21,0)&amp;""</f>
        <v>Yes</v>
      </c>
      <c r="H333" s="197"/>
      <c r="I333" s="198" t="str">
        <f>VLOOKUP($A333,Questions!$A$2:$X$333,23,0)&amp;""</f>
        <v>Standard Importance</v>
      </c>
      <c r="J333" s="197"/>
      <c r="K333" s="199" t="b">
        <f>FALSE()</f>
        <v>0</v>
      </c>
      <c r="L333" s="3"/>
    </row>
    <row r="334" spans="1:12" s="189" customFormat="1" ht="15" customHeight="1" x14ac:dyDescent="0.15">
      <c r="A334" s="36" t="str">
        <f>AI!$A$44</f>
        <v>AIML-04</v>
      </c>
      <c r="B334" s="37" t="str">
        <f>VLOOKUP($A334,AI!$A$13:$E$55,2,0)&amp;""</f>
        <v>Is your ML training data monitored and audited?</v>
      </c>
      <c r="C334" s="198" t="str">
        <f>VLOOKUP($A334,AI!$A$13:$E$55,3,0)&amp;""</f>
        <v>N/A</v>
      </c>
      <c r="D334" s="70" t="str">
        <f>IF(LEFT(VLOOKUP($A334,AI!$A$13:$E$55,5,0),21)='Auto Responses'!$A$32,'Auto Responses'!$A$33,VLOOKUP($A334,AI!$A$13:$E$55,4,0))&amp;""</f>
        <v>This question does not apply.</v>
      </c>
      <c r="E334" s="204" t="str">
        <f>VLOOKUP($A334,AI!$A$13:$E$55,5,0)&amp;""</f>
        <v>Based on the response to REQU-04 on the "START HERE" tab, this question does not apply to this product or service.</v>
      </c>
      <c r="F334" s="210"/>
      <c r="G334" s="196" t="str">
        <f>VLOOKUP($A334,Questions!$A$2:$X$333,21,0)&amp;""</f>
        <v>Yes</v>
      </c>
      <c r="H334" s="197"/>
      <c r="I334" s="198" t="str">
        <f>VLOOKUP($A334,Questions!$A$2:$X$333,23,0)&amp;""</f>
        <v>Standard Importance</v>
      </c>
      <c r="J334" s="197"/>
      <c r="K334" s="199" t="b">
        <f>FALSE()</f>
        <v>0</v>
      </c>
      <c r="L334" s="3"/>
    </row>
    <row r="335" spans="1:12" s="189" customFormat="1" ht="27" customHeight="1" x14ac:dyDescent="0.15">
      <c r="A335" s="36" t="str">
        <f>AI!$A$45</f>
        <v>AIML-05</v>
      </c>
      <c r="B335" s="37" t="str">
        <f>VLOOKUP($A335,AI!$A$13:$E$55,2,0)&amp;""</f>
        <v>Have you limited access to your ML training data to only staff with an explicit business need?</v>
      </c>
      <c r="C335" s="198" t="str">
        <f>VLOOKUP($A335,AI!$A$13:$E$55,3,0)&amp;""</f>
        <v>N/A</v>
      </c>
      <c r="D335" s="70" t="str">
        <f>IF(LEFT(VLOOKUP($A335,AI!$A$13:$E$55,5,0),21)='Auto Responses'!$A$32,'Auto Responses'!$A$33,VLOOKUP($A335,AI!$A$13:$E$55,4,0))&amp;""</f>
        <v>This question does not apply.</v>
      </c>
      <c r="E335" s="204" t="str">
        <f>VLOOKUP($A335,AI!$A$13:$E$55,5,0)&amp;""</f>
        <v>Based on the response to REQU-04 on the "START HERE" tab, this question does not apply to this product or service.</v>
      </c>
      <c r="F335" s="210"/>
      <c r="G335" s="196" t="str">
        <f>VLOOKUP($A335,Questions!$A$2:$X$333,21,0)&amp;""</f>
        <v>Yes</v>
      </c>
      <c r="H335" s="197"/>
      <c r="I335" s="198" t="str">
        <f>VLOOKUP($A335,Questions!$A$2:$X$333,23,0)&amp;""</f>
        <v>Minor Importance</v>
      </c>
      <c r="J335" s="197"/>
      <c r="K335" s="199" t="b">
        <f>FALSE()</f>
        <v>0</v>
      </c>
      <c r="L335" s="3"/>
    </row>
    <row r="336" spans="1:12" s="189" customFormat="1" ht="27" customHeight="1" x14ac:dyDescent="0.15">
      <c r="A336" s="36" t="str">
        <f>AI!$A$46</f>
        <v>AIML-06</v>
      </c>
      <c r="B336" s="37" t="str">
        <f>VLOOKUP($A336,AI!$A$13:$E$55,2,0)&amp;""</f>
        <v>Have you implemented adversarial training or other model defense mechanisms to protect your ML-related features?</v>
      </c>
      <c r="C336" s="198" t="str">
        <f>VLOOKUP($A336,AI!$A$13:$E$55,3,0)&amp;""</f>
        <v>N/A</v>
      </c>
      <c r="D336" s="70" t="str">
        <f>IF(LEFT(VLOOKUP($A336,AI!$A$13:$E$55,5,0),21)='Auto Responses'!$A$32,'Auto Responses'!$A$33,VLOOKUP($A336,AI!$A$13:$E$55,4,0))&amp;""</f>
        <v>This question does not apply.</v>
      </c>
      <c r="E336" s="204" t="str">
        <f>VLOOKUP($A336,AI!$A$13:$E$55,5,0)&amp;""</f>
        <v>Based on the response to REQU-04 on the "START HERE" tab, this question does not apply to this product or service.</v>
      </c>
      <c r="F336" s="210"/>
      <c r="G336" s="196" t="str">
        <f>VLOOKUP($A336,Questions!$A$2:$X$333,21,0)&amp;""</f>
        <v>Yes</v>
      </c>
      <c r="H336" s="197"/>
      <c r="I336" s="198" t="str">
        <f>VLOOKUP($A336,Questions!$A$2:$X$333,23,0)&amp;""</f>
        <v>Minor Importance</v>
      </c>
      <c r="J336" s="197"/>
      <c r="K336" s="199" t="b">
        <f>FALSE()</f>
        <v>0</v>
      </c>
      <c r="L336" s="3"/>
    </row>
    <row r="337" spans="1:14" s="189" customFormat="1" ht="27" customHeight="1" x14ac:dyDescent="0.15">
      <c r="A337" s="36" t="str">
        <f>AI!$A$47</f>
        <v>AIML-07</v>
      </c>
      <c r="B337" s="37" t="str">
        <f>VLOOKUP($A337,AI!$A$13:$E$55,2,0)&amp;""</f>
        <v>Do you make your ML model transparent through documentation and log inputs and outputs?</v>
      </c>
      <c r="C337" s="198" t="str">
        <f>VLOOKUP($A337,AI!$A$13:$E$55,3,0)&amp;""</f>
        <v>N/A</v>
      </c>
      <c r="D337" s="70" t="str">
        <f>IF(LEFT(VLOOKUP($A337,AI!$A$13:$E$55,5,0),21)='Auto Responses'!$A$32,'Auto Responses'!$A$33,VLOOKUP($A337,AI!$A$13:$E$55,4,0))&amp;""</f>
        <v>This question does not apply.</v>
      </c>
      <c r="E337" s="204" t="str">
        <f>VLOOKUP($A337,AI!$A$13:$E$55,5,0)&amp;""</f>
        <v>Based on the response to REQU-04 on the "START HERE" tab, this question does not apply to this product or service.</v>
      </c>
      <c r="F337" s="210"/>
      <c r="G337" s="196" t="str">
        <f>VLOOKUP($A337,Questions!$A$2:$X$333,21,0)&amp;""</f>
        <v>Yes</v>
      </c>
      <c r="H337" s="197"/>
      <c r="I337" s="198" t="str">
        <f>VLOOKUP($A337,Questions!$A$2:$X$333,23,0)&amp;""</f>
        <v>Minor Importance</v>
      </c>
      <c r="J337" s="197"/>
      <c r="K337" s="199" t="b">
        <f>FALSE()</f>
        <v>0</v>
      </c>
      <c r="L337" s="3"/>
    </row>
    <row r="338" spans="1:14" s="189" customFormat="1" ht="15" customHeight="1" x14ac:dyDescent="0.15">
      <c r="A338" s="36" t="str">
        <f>AI!$A$48</f>
        <v>AIML-08</v>
      </c>
      <c r="B338" s="37" t="str">
        <f>VLOOKUP($A338,AI!$A$13:$E$55,2,0)&amp;""</f>
        <v>Do you watermark your ML training data?</v>
      </c>
      <c r="C338" s="198" t="str">
        <f>VLOOKUP($A338,AI!$A$13:$E$55,3,0)&amp;""</f>
        <v>N/A</v>
      </c>
      <c r="D338" s="70" t="str">
        <f>IF(LEFT(VLOOKUP($A338,AI!$A$13:$E$55,5,0),21)='Auto Responses'!$A$32,'Auto Responses'!$A$33,VLOOKUP($A338,AI!$A$13:$E$55,4,0))&amp;""</f>
        <v>This question does not apply.</v>
      </c>
      <c r="E338" s="204" t="str">
        <f>VLOOKUP($A338,AI!$A$13:$E$55,5,0)&amp;""</f>
        <v>Based on the response to REQU-04 on the "START HERE" tab, this question does not apply to this product or service.</v>
      </c>
      <c r="F338" s="210"/>
      <c r="G338" s="196" t="str">
        <f>VLOOKUP($A338,Questions!$A$2:$X$333,21,0)&amp;""</f>
        <v>Yes</v>
      </c>
      <c r="H338" s="197"/>
      <c r="I338" s="198" t="str">
        <f>VLOOKUP($A338,Questions!$A$2:$X$333,23,0)&amp;""</f>
        <v>Minor Importance</v>
      </c>
      <c r="J338" s="197"/>
      <c r="K338" s="199" t="b">
        <f>FALSE()</f>
        <v>0</v>
      </c>
      <c r="L338" s="3"/>
    </row>
    <row r="339" spans="1:14" s="3" customFormat="1" ht="17.25" customHeight="1" x14ac:dyDescent="0.15">
      <c r="A339" s="32" t="str">
        <f>VLOOKUP(LEFT($A340,4),'Auto Responses'!$N$4:$O$38,2,0)&amp;""</f>
        <v xml:space="preserve"> AI Large Language Model (LLM)</v>
      </c>
      <c r="B339" s="41"/>
      <c r="C339" s="214"/>
      <c r="D339" s="42"/>
      <c r="E339" s="215"/>
      <c r="F339" s="191" t="s">
        <v>468</v>
      </c>
      <c r="G339" s="200" t="s">
        <v>463</v>
      </c>
      <c r="H339" s="200" t="s">
        <v>464</v>
      </c>
      <c r="I339" s="200" t="s">
        <v>465</v>
      </c>
      <c r="J339" s="200" t="s">
        <v>466</v>
      </c>
      <c r="K339" s="200" t="s">
        <v>467</v>
      </c>
    </row>
    <row r="340" spans="1:14" s="189" customFormat="1" ht="15" customHeight="1" x14ac:dyDescent="0.15">
      <c r="A340" s="36" t="str">
        <f>AI!$A$50</f>
        <v>AILM-01</v>
      </c>
      <c r="B340" s="37" t="str">
        <f>VLOOKUP($A340,AI!$A$13:$E$55,2,0)&amp;""</f>
        <v>Do you limit your solution's LLM privileges by default?*</v>
      </c>
      <c r="C340" s="198" t="str">
        <f>VLOOKUP($A340,AI!$A$13:$E$55,3,0)&amp;""</f>
        <v>N/A</v>
      </c>
      <c r="D340" s="70" t="str">
        <f>IF(LEFT(VLOOKUP($A340,AI!$A$13:$E$55,5,0),21)='Auto Responses'!$A$32,'Auto Responses'!$A$33,VLOOKUP($A340,AI!$A$13:$E$55,4,0))&amp;""</f>
        <v>This question does not apply.</v>
      </c>
      <c r="E340" s="204" t="str">
        <f>VLOOKUP($A340,AI!$A$13:$E$55,5,0)&amp;""</f>
        <v>Based on the response to REQU-04 on the "START HERE" tab, this question does not apply to this product or service.</v>
      </c>
      <c r="F340" s="210"/>
      <c r="G340" s="196" t="str">
        <f>VLOOKUP($A340,Questions!$A$2:$X$333,21,0)&amp;""</f>
        <v>Yes</v>
      </c>
      <c r="H340" s="197"/>
      <c r="I340" s="198" t="str">
        <f>VLOOKUP($A340,Questions!$A$2:$X$333,23,0)&amp;""</f>
        <v>Critical Importance</v>
      </c>
      <c r="J340" s="197"/>
      <c r="K340" s="199" t="b">
        <f>FALSE()</f>
        <v>0</v>
      </c>
      <c r="L340" s="3"/>
    </row>
    <row r="341" spans="1:14" s="189" customFormat="1" ht="27" customHeight="1" x14ac:dyDescent="0.15">
      <c r="A341" s="36" t="str">
        <f>AI!$A$51</f>
        <v>AILM-02</v>
      </c>
      <c r="B341" s="37" t="str">
        <f>VLOOKUP($A341,AI!$A$13:$E$55,2,0)&amp;""</f>
        <v>Is your LLM training data vetted, validated, and verified before training the solution's AI model?*</v>
      </c>
      <c r="C341" s="198" t="str">
        <f>VLOOKUP($A341,AI!$A$13:$E$55,3,0)&amp;""</f>
        <v>N/A</v>
      </c>
      <c r="D341" s="70" t="str">
        <f>IF(LEFT(VLOOKUP($A341,AI!$A$13:$E$55,5,0),21)='Auto Responses'!$A$32,'Auto Responses'!$A$33,VLOOKUP($A341,AI!$A$13:$E$55,4,0))&amp;""</f>
        <v>This question does not apply.</v>
      </c>
      <c r="E341" s="204" t="str">
        <f>VLOOKUP($A341,AI!$A$13:$E$55,5,0)&amp;""</f>
        <v>Based on the response to REQU-04 on the "START HERE" tab, this question does not apply to this product or service.</v>
      </c>
      <c r="F341" s="210"/>
      <c r="G341" s="196" t="str">
        <f>VLOOKUP($A341,Questions!$A$2:$X$333,21,0)&amp;""</f>
        <v>Yes</v>
      </c>
      <c r="H341" s="197"/>
      <c r="I341" s="198" t="str">
        <f>VLOOKUP($A341,Questions!$A$2:$X$333,23,0)&amp;""</f>
        <v>Critical Importance</v>
      </c>
      <c r="J341" s="197"/>
      <c r="K341" s="199" t="b">
        <f>FALSE()</f>
        <v>0</v>
      </c>
      <c r="L341" s="3"/>
    </row>
    <row r="342" spans="1:14" s="189" customFormat="1" ht="27" customHeight="1" x14ac:dyDescent="0.15">
      <c r="A342" s="36" t="str">
        <f>AI!$A$52</f>
        <v>AILM-03</v>
      </c>
      <c r="B342" s="37" t="str">
        <f>VLOOKUP($A342,AI!$A$13:$E$55,2,0)&amp;""</f>
        <v>Do any actions taken by your solution's LLM features or plugins require human intervention?*</v>
      </c>
      <c r="C342" s="198" t="str">
        <f>VLOOKUP($A342,AI!$A$13:$E$55,3,0)&amp;""</f>
        <v>N/A</v>
      </c>
      <c r="D342" s="70" t="str">
        <f>IF(LEFT(VLOOKUP($A342,AI!$A$13:$E$55,5,0),21)='Auto Responses'!$A$32,'Auto Responses'!$A$33,VLOOKUP($A342,AI!$A$13:$E$55,4,0))&amp;""</f>
        <v>This question does not apply.</v>
      </c>
      <c r="E342" s="204" t="str">
        <f>VLOOKUP($A342,AI!$A$13:$E$55,5,0)&amp;""</f>
        <v>Based on the response to REQU-04 on the "START HERE" tab, this question does not apply to this product or service.</v>
      </c>
      <c r="F342" s="210"/>
      <c r="G342" s="196" t="str">
        <f>VLOOKUP($A342,Questions!$A$2:$X$333,21,0)&amp;""</f>
        <v>Yes</v>
      </c>
      <c r="H342" s="197"/>
      <c r="I342" s="198" t="str">
        <f>VLOOKUP($A342,Questions!$A$2:$X$333,23,0)&amp;""</f>
        <v>Critical Importance</v>
      </c>
      <c r="J342" s="197"/>
      <c r="K342" s="199" t="b">
        <f>FALSE()</f>
        <v>0</v>
      </c>
      <c r="L342" s="3"/>
    </row>
    <row r="343" spans="1:14" s="189" customFormat="1" ht="27" customHeight="1" x14ac:dyDescent="0.15">
      <c r="A343" s="36" t="str">
        <f>AI!$A$53</f>
        <v>AILM-04</v>
      </c>
      <c r="B343" s="37" t="str">
        <f>VLOOKUP($A343,AI!$A$13:$E$55,2,0)&amp;""</f>
        <v>Do you limit multiple LLM model plugins being called as part of a single input?*</v>
      </c>
      <c r="C343" s="198" t="str">
        <f>VLOOKUP($A343,AI!$A$13:$E$55,3,0)&amp;""</f>
        <v>N/A</v>
      </c>
      <c r="D343" s="70" t="str">
        <f>IF(LEFT(VLOOKUP($A343,AI!$A$13:$E$55,5,0),21)='Auto Responses'!$A$32,'Auto Responses'!$A$33,VLOOKUP($A343,AI!$A$13:$E$55,4,0))&amp;""</f>
        <v>This question does not apply.</v>
      </c>
      <c r="E343" s="204" t="str">
        <f>VLOOKUP($A343,AI!$A$13:$E$55,5,0)&amp;""</f>
        <v>Based on the response to REQU-04 on the "START HERE" tab, this question does not apply to this product or service.</v>
      </c>
      <c r="F343" s="210"/>
      <c r="G343" s="196" t="str">
        <f>VLOOKUP($A343,Questions!$A$2:$X$333,21,0)&amp;""</f>
        <v>Yes</v>
      </c>
      <c r="H343" s="197"/>
      <c r="I343" s="198" t="str">
        <f>VLOOKUP($A343,Questions!$A$2:$X$333,23,0)&amp;""</f>
        <v>Critical Importance</v>
      </c>
      <c r="J343" s="197"/>
      <c r="K343" s="199" t="b">
        <f>FALSE()</f>
        <v>0</v>
      </c>
      <c r="L343" s="3"/>
    </row>
    <row r="344" spans="1:14" s="189" customFormat="1" ht="27" customHeight="1" x14ac:dyDescent="0.15">
      <c r="A344" s="36" t="str">
        <f>AI!$A$54</f>
        <v>AILM-05</v>
      </c>
      <c r="B344" s="37" t="str">
        <f>VLOOKUP($A344,AI!$A$13:$E$55,2,0)&amp;""</f>
        <v>Do you limit your solution's LLM resource use per request, per step, and per action?</v>
      </c>
      <c r="C344" s="198" t="str">
        <f>VLOOKUP($A344,AI!$A$13:$E$55,3,0)&amp;""</f>
        <v>N/A</v>
      </c>
      <c r="D344" s="70" t="str">
        <f>IF(LEFT(VLOOKUP($A344,AI!$A$13:$E$55,5,0),21)='Auto Responses'!$A$32,'Auto Responses'!$A$33,VLOOKUP($A344,AI!$A$13:$E$55,4,0))&amp;""</f>
        <v>This question does not apply.</v>
      </c>
      <c r="E344" s="204" t="str">
        <f>VLOOKUP($A344,AI!$A$13:$E$55,5,0)&amp;""</f>
        <v>Based on the response to REQU-04 on the "START HERE" tab, this question does not apply to this product or service.</v>
      </c>
      <c r="F344" s="210"/>
      <c r="G344" s="196" t="str">
        <f>VLOOKUP($A344,Questions!$A$2:$X$333,21,0)&amp;""</f>
        <v>Yes</v>
      </c>
      <c r="H344" s="197"/>
      <c r="I344" s="198" t="str">
        <f>VLOOKUP($A344,Questions!$A$2:$X$333,23,0)&amp;""</f>
        <v>Standard Importance</v>
      </c>
      <c r="J344" s="197"/>
      <c r="K344" s="199" t="b">
        <f>FALSE()</f>
        <v>0</v>
      </c>
      <c r="L344" s="3"/>
    </row>
    <row r="345" spans="1:14" s="189" customFormat="1" ht="15" customHeight="1" x14ac:dyDescent="0.15">
      <c r="A345" s="36" t="str">
        <f>AI!$A$55</f>
        <v>AILM-06</v>
      </c>
      <c r="B345" s="37" t="str">
        <f>VLOOKUP($A345,AI!$A$13:$E$55,2,0)&amp;""</f>
        <v>Do you leverage LLM model tuning or other model validation mechanisms?</v>
      </c>
      <c r="C345" s="198" t="str">
        <f>VLOOKUP($A345,AI!$A$13:$E$55,3,0)&amp;""</f>
        <v>N/A</v>
      </c>
      <c r="D345" s="70" t="str">
        <f>IF(LEFT(VLOOKUP($A345,AI!$A$13:$E$55,5,0),21)='Auto Responses'!$A$32,'Auto Responses'!$A$33,VLOOKUP($A345,AI!$A$13:$E$55,4,0))&amp;""</f>
        <v>This question does not apply.</v>
      </c>
      <c r="E345" s="204" t="str">
        <f>VLOOKUP($A345,AI!$A$13:$E$55,5,0)&amp;""</f>
        <v>Based on the response to REQU-04 on the "START HERE" tab, this question does not apply to this product or service.</v>
      </c>
      <c r="F345" s="210"/>
      <c r="G345" s="196" t="str">
        <f>VLOOKUP($A345,Questions!$A$2:$X$333,21,0)&amp;""</f>
        <v>Yes</v>
      </c>
      <c r="H345" s="197"/>
      <c r="I345" s="198" t="str">
        <f>VLOOKUP($A345,Questions!$A$2:$X$333,23,0)&amp;""</f>
        <v>Standard Importance</v>
      </c>
      <c r="J345" s="197"/>
      <c r="K345" s="199" t="b">
        <f>FALSE()</f>
        <v>0</v>
      </c>
      <c r="L345" s="3"/>
      <c r="N345" s="62" t="s">
        <v>35</v>
      </c>
    </row>
    <row r="346" spans="1:14" ht="42" customHeight="1" x14ac:dyDescent="0.2">
      <c r="A346" s="63" t="s">
        <v>53</v>
      </c>
    </row>
    <row r="347" spans="1:14" ht="15" hidden="1" customHeight="1" x14ac:dyDescent="0.2"/>
    <row r="348" spans="1:14" ht="15" hidden="1" customHeight="1" x14ac:dyDescent="0.2"/>
    <row r="349" spans="1:14" ht="15" hidden="1" customHeight="1" x14ac:dyDescent="0.2"/>
    <row r="350" spans="1:14" ht="15" hidden="1" customHeight="1" x14ac:dyDescent="0.2"/>
    <row r="351" spans="1:14" ht="15" hidden="1" customHeight="1" x14ac:dyDescent="0.2"/>
    <row r="352" spans="1:14" ht="15" hidden="1" customHeight="1" x14ac:dyDescent="0.2"/>
    <row r="353" ht="15" hidden="1" customHeight="1" x14ac:dyDescent="0.2"/>
    <row r="354" ht="15" hidden="1" customHeight="1" x14ac:dyDescent="0.2"/>
    <row r="355" ht="15" hidden="1" customHeight="1" x14ac:dyDescent="0.2"/>
    <row r="356" ht="15" hidden="1" customHeight="1" x14ac:dyDescent="0.2"/>
    <row r="357" ht="15" hidden="1" customHeight="1" x14ac:dyDescent="0.2"/>
    <row r="358" ht="15" hidden="1" customHeight="1" x14ac:dyDescent="0.2"/>
    <row r="359" ht="15" hidden="1" customHeight="1" x14ac:dyDescent="0.2"/>
    <row r="360" ht="15" hidden="1" customHeight="1" x14ac:dyDescent="0.2"/>
    <row r="361" ht="15" hidden="1" customHeight="1" x14ac:dyDescent="0.2"/>
    <row r="362" ht="15" hidden="1" customHeight="1" x14ac:dyDescent="0.2"/>
    <row r="363" ht="15" hidden="1" customHeight="1" x14ac:dyDescent="0.2"/>
  </sheetData>
  <mergeCells count="1">
    <mergeCell ref="A19:C19"/>
  </mergeCells>
  <conditionalFormatting sqref="F21:G40">
    <cfRule type="dataBar" priority="3">
      <dataBar>
        <cfvo type="num" val="0"/>
        <cfvo type="num" val="1"/>
        <color rgb="FFD0DAF0"/>
      </dataBar>
    </cfRule>
    <cfRule type="dataBar" priority="4">
      <dataBar>
        <cfvo type="num" val="0"/>
        <cfvo type="num" val="1"/>
        <color rgb="FFD0DAF0"/>
      </dataBar>
      <extLst>
        <ext xmlns:x14="http://schemas.microsoft.com/office/spreadsheetml/2009/9/main" uri="{B025F937-C7B1-47D3-B67F-A62EFF666E3E}">
          <x14:id>{DB29A964-1D21-4AB1-9EEE-30F041B0E144}</x14:id>
        </ext>
      </extLst>
    </cfRule>
  </conditionalFormatting>
  <conditionalFormatting sqref="H40:I40">
    <cfRule type="dataBar" priority="2">
      <dataBar>
        <cfvo type="num" val="0"/>
        <cfvo type="num" val="1"/>
        <color rgb="FF638EC6"/>
      </dataBar>
    </cfRule>
    <cfRule type="dataBar" priority="5">
      <dataBar>
        <cfvo type="num" val="0"/>
        <cfvo type="num" val="1"/>
        <color rgb="FF638EC6"/>
      </dataBar>
      <extLst>
        <ext xmlns:x14="http://schemas.microsoft.com/office/spreadsheetml/2009/9/main" uri="{B025F937-C7B1-47D3-B67F-A62EFF666E3E}">
          <x14:id>{7F2C573E-7B54-43E1-8965-5E4BDBBD4FCC}</x14:id>
        </ext>
      </extLst>
    </cfRule>
  </conditionalFormatting>
  <dataValidations count="2">
    <dataValidation allowBlank="1" showInputMessage="1" showErrorMessage="1" promptTitle="Warning!" prompt="The HECVAT is built using a number of complex formulas. Editing this cell can break the functionality of the tool. " sqref="B2 I2 A3:B17 B20:I20 B21:B40 D21:I39 C40:I40 A44:E346 G56:G345 I56:I345" xr:uid="{00000000-0002-0000-0800-000000000000}">
      <formula1>0</formula1>
      <formula2>0</formula2>
    </dataValidation>
    <dataValidation allowBlank="1" showInputMessage="1" showErrorMessage="1" prompt="This answer has been populated from the &quot;START HERE&quot; tab and does not need to be re-entered." sqref="C11:C17" xr:uid="{00000000-0002-0000-0800-000001000000}">
      <formula1>0</formula1>
      <formula2>0</formula2>
    </dataValidation>
  </dataValidations>
  <hyperlinks>
    <hyperlink ref="A10" r:id="rId1" display="http://www.educause.edu/HECVAT" xr:uid="{00000000-0004-0000-0800-000000000000}"/>
    <hyperlink ref="G21" location="'Institution Evaluation'!A65" display="'Institution Evaluation'!A65" xr:uid="{00000000-0004-0000-0800-000001000000}"/>
    <hyperlink ref="G22" location="'Institution Evaluation'!A80" display="'Institution Evaluation'!A80" xr:uid="{00000000-0004-0000-0800-000002000000}"/>
    <hyperlink ref="G23" location="'Institution Evaluation'!A88" display="'Institution Evaluation'!A88" xr:uid="{00000000-0004-0000-0800-000003000000}"/>
    <hyperlink ref="G24" location="'Institution Evaluation'!A94" display="'Institution Evaluation'!A94" xr:uid="{00000000-0004-0000-0800-000004000000}"/>
    <hyperlink ref="G25" location="'Institution Evaluation'!A111" display="'Institution Evaluation'!A111" xr:uid="{00000000-0004-0000-0800-000005000000}"/>
    <hyperlink ref="G26" location="'Institution Evaluation'!A127" display="'Institution Evaluation'!A127" xr:uid="{00000000-0004-0000-0800-000006000000}"/>
    <hyperlink ref="G27" location="'Institution Evaluation'!A146" display="'Institution Evaluation'!A146" xr:uid="{00000000-0004-0000-0800-000007000000}"/>
    <hyperlink ref="G28" location="'Institution Evaluation'!A170" display="'Institution Evaluation'!A170" xr:uid="{00000000-0004-0000-0800-000008000000}"/>
    <hyperlink ref="G29" location="'Institution Evaluation'!A185" display="'Institution Evaluation'!A185" xr:uid="{00000000-0004-0000-0800-000009000000}"/>
    <hyperlink ref="G30" location="'Institution Evaluation'!A202" display="'Institution Evaluation'!A202" xr:uid="{00000000-0004-0000-0800-00000A000000}"/>
    <hyperlink ref="G31" location="'Institution Evaluation'!A214" display="'Institution Evaluation'!A214" xr:uid="{00000000-0004-0000-0800-00000B000000}"/>
    <hyperlink ref="G32" location="'Institution Evaluation'!A219" display="'Institution Evaluation'!A219" xr:uid="{00000000-0004-0000-0800-00000C000000}"/>
    <hyperlink ref="G33" location="'Institution Evaluation'!A245" display="'Institution Evaluation'!A245" xr:uid="{00000000-0004-0000-0800-00000D000000}"/>
    <hyperlink ref="G34" location="'Institution Evaluation'!A255" display="'Institution Evaluation'!A255" xr:uid="{00000000-0004-0000-0800-00000E000000}"/>
    <hyperlink ref="G35" location="'Institution Evaluation'!A285" display="'Institution Evaluation'!A285" xr:uid="{00000000-0004-0000-0800-00000F000000}"/>
    <hyperlink ref="G36" location="'Institution Evaluation'!A298" display="'Institution Evaluation'!A298" xr:uid="{00000000-0004-0000-0800-000010000000}"/>
    <hyperlink ref="G37" location="'Institution Evaluation'!A226" display="'Institution Evaluation'!A226" xr:uid="{00000000-0004-0000-0800-000011000000}"/>
    <hyperlink ref="G38" location="'Institution Evaluation'!A312" display="'Institution Evaluation'!A312" xr:uid="{00000000-0004-0000-0800-000012000000}"/>
    <hyperlink ref="G39" location="'Privacy Analyst Evaluation'!A1" display="'Privacy Analyst Evaluation'!A1" xr:uid="{00000000-0004-0000-0800-000013000000}"/>
    <hyperlink ref="A52" r:id="rId2" display="http://www.educause.edu/HECVAT" xr:uid="{00000000-0004-0000-0800-000014000000}"/>
    <hyperlink ref="F55" location="'Institution Evaluation'!B20" display="Back to Scorecard" xr:uid="{00000000-0004-0000-0800-000015000000}"/>
    <hyperlink ref="F65" location="'Institution Evaluation'!B20" display="Back to Scorecard" xr:uid="{00000000-0004-0000-0800-000016000000}"/>
    <hyperlink ref="F71" location="'Institution Evaluation'!B20" display="Back to Scorecard" xr:uid="{00000000-0004-0000-0800-000017000000}"/>
    <hyperlink ref="F80" location="'Institution Evaluation'!B20" display="Back to Scorecard" xr:uid="{00000000-0004-0000-0800-000018000000}"/>
    <hyperlink ref="F88" location="'Institution Evaluation'!B20" display="Back to Scorecard" xr:uid="{00000000-0004-0000-0800-000019000000}"/>
    <hyperlink ref="F94" location="'Institution Evaluation'!B20" display="Back to Scorecard" xr:uid="{00000000-0004-0000-0800-00001A000000}"/>
    <hyperlink ref="F111" location="'Institution Evaluation'!B20" display="Back to Scorecard" xr:uid="{00000000-0004-0000-0800-00001B000000}"/>
    <hyperlink ref="F127" location="'Institution Evaluation'!B20" display="Back to Scorecard" xr:uid="{00000000-0004-0000-0800-00001C000000}"/>
    <hyperlink ref="F146" location="'Institution Evaluation'!B20" display="Back to Scorecard" xr:uid="{00000000-0004-0000-0800-00001D000000}"/>
    <hyperlink ref="F170" location="'Institution Evaluation'!B20" display="Back to Scorecard" xr:uid="{00000000-0004-0000-0800-00001E000000}"/>
    <hyperlink ref="F185" location="'Institution Evaluation'!B20" display="Back to Scorecard" xr:uid="{00000000-0004-0000-0800-00001F000000}"/>
    <hyperlink ref="F202" location="'Institution Evaluation'!B20" display="Back to Scorecard" xr:uid="{00000000-0004-0000-0800-000020000000}"/>
    <hyperlink ref="F214" location="'Institution Evaluation'!B20" display="Back to Scorecard" xr:uid="{00000000-0004-0000-0800-000021000000}"/>
    <hyperlink ref="F219" location="'Institution Evaluation'!B20" display="Back to Scorecard" xr:uid="{00000000-0004-0000-0800-000022000000}"/>
    <hyperlink ref="F226" location="'Institution Evaluation'!B20" display="Back to Scorecard" xr:uid="{00000000-0004-0000-0800-000023000000}"/>
    <hyperlink ref="F245" location="'Institution Evaluation'!B20" display="Back to Scorecard" xr:uid="{00000000-0004-0000-0800-000024000000}"/>
    <hyperlink ref="F255" location="'Institution Evaluation'!B20" display="Back to Scorecard" xr:uid="{00000000-0004-0000-0800-000025000000}"/>
    <hyperlink ref="F285" location="'Institution Evaluation'!B20" display="Back to Scorecard" xr:uid="{00000000-0004-0000-0800-000026000000}"/>
    <hyperlink ref="F298" location="'Institution Evaluation'!B20" display="Back to Scorecard" xr:uid="{00000000-0004-0000-0800-000027000000}"/>
    <hyperlink ref="F309" location="'Institution Evaluation'!B20" display="Back to Scorecard" xr:uid="{00000000-0004-0000-0800-000028000000}"/>
    <hyperlink ref="F312" location="'Institution Evaluation'!B20" display="Back to Scorecard" xr:uid="{00000000-0004-0000-0800-000029000000}"/>
    <hyperlink ref="F318" location="'Institution Evaluation'!B20" display="Back to Scorecard" xr:uid="{00000000-0004-0000-0800-00002A000000}"/>
    <hyperlink ref="F324" location="'Institution Evaluation'!B20" display="Back to Scorecard" xr:uid="{00000000-0004-0000-0800-00002B000000}"/>
    <hyperlink ref="F330" location="'Institution Evaluation'!B20" display="Back to Scorecard" xr:uid="{00000000-0004-0000-0800-00002C000000}"/>
    <hyperlink ref="F339" location="'Institution Evaluation'!B20" display="Back to Scorecard" xr:uid="{00000000-0004-0000-0800-00002D000000}"/>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DB29A964-1D21-4AB1-9EEE-30F041B0E144}">
            <x14:dataBar>
              <x14:cfvo type="num">
                <xm:f>0</xm:f>
              </x14:cfvo>
              <x14:cfvo type="num">
                <xm:f>1</xm:f>
              </x14:cfvo>
              <x14:negativeFillColor rgb="FFD0DAF0"/>
              <x14:axisColor auto="1"/>
            </x14:dataBar>
          </x14:cfRule>
          <xm:sqref>F21:G40</xm:sqref>
        </x14:conditionalFormatting>
        <x14:conditionalFormatting xmlns:xm="http://schemas.microsoft.com/office/excel/2006/main">
          <x14:cfRule type="dataBar" id="{7F2C573E-7B54-43E1-8965-5E4BDBBD4FCC}">
            <x14:dataBar>
              <x14:cfvo type="num">
                <xm:f>0</xm:f>
              </x14:cfvo>
              <x14:cfvo type="num">
                <xm:f>1</xm:f>
              </x14:cfvo>
              <x14:negativeFillColor rgb="FF638EC6"/>
              <x14:axisColor auto="1"/>
            </x14:dataBar>
          </x14:cfRule>
          <xm:sqref>H40:I40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E0B233"/>
  </sheetPr>
  <dimension ref="A1:LZ695"/>
  <sheetViews>
    <sheetView showGridLines="0" topLeftCell="A2" workbookViewId="0"/>
  </sheetViews>
  <sheetFormatPr baseColWidth="10" defaultColWidth="0" defaultRowHeight="16" x14ac:dyDescent="0.2"/>
  <cols>
    <col min="1" max="1" width="8.125" style="100" customWidth="1"/>
    <col min="2" max="2" width="21.625" style="100" customWidth="1"/>
    <col min="3" max="3" width="27.625" style="100" customWidth="1"/>
    <col min="4" max="4" width="21.5" style="100" customWidth="1"/>
    <col min="5" max="5" width="21.375" style="100" customWidth="1"/>
    <col min="6" max="6" width="17" style="100" customWidth="1"/>
    <col min="7" max="7" width="2.25" style="100" customWidth="1"/>
    <col min="8" max="8" width="6.5" style="100" customWidth="1"/>
    <col min="9" max="9" width="8.375" style="100" customWidth="1"/>
    <col min="10" max="10" width="31.125" style="100" customWidth="1"/>
    <col min="11" max="13" width="22.625" style="100" customWidth="1"/>
    <col min="14" max="14" width="8.5" style="100"/>
    <col min="15" max="16" width="8.25" style="100" hidden="1" customWidth="1"/>
    <col min="17" max="17" width="8.375" style="100" hidden="1" customWidth="1"/>
    <col min="18" max="24" width="8.5" style="100" hidden="1"/>
    <col min="25" max="25" width="8.375" style="100" hidden="1" customWidth="1"/>
    <col min="26" max="26" width="8.25" style="100" hidden="1" customWidth="1"/>
    <col min="27" max="28" width="8.5" style="100" hidden="1"/>
    <col min="29" max="29" width="8.25" style="100" hidden="1" customWidth="1"/>
    <col min="30" max="30" width="8.5" style="100" hidden="1"/>
    <col min="31" max="32" width="8.375" style="100" hidden="1" customWidth="1"/>
    <col min="33" max="34" width="8.5" style="100" hidden="1"/>
    <col min="35" max="35" width="10.625" style="100" hidden="1" customWidth="1"/>
    <col min="36" max="43" width="8.5" style="100" hidden="1"/>
    <col min="44" max="46" width="8.375" style="100" hidden="1" customWidth="1"/>
    <col min="47" max="47" width="8.5" style="100" hidden="1"/>
    <col min="48" max="48" width="8.375" style="100" hidden="1" customWidth="1"/>
    <col min="49" max="53" width="8.5" style="100" hidden="1"/>
    <col min="54" max="54" width="8.625" style="100" hidden="1" customWidth="1"/>
    <col min="55" max="55" width="8.5" style="100" hidden="1"/>
    <col min="56" max="56" width="8.25" style="100" hidden="1" customWidth="1"/>
    <col min="57" max="57" width="8.5" style="100" hidden="1"/>
    <col min="58" max="60" width="8.375" style="100" hidden="1" customWidth="1"/>
    <col min="61" max="63" width="8.5" style="100" hidden="1"/>
    <col min="64" max="64" width="17.375" style="100" hidden="1" customWidth="1"/>
    <col min="65" max="68" width="8.5" style="100" hidden="1"/>
    <col min="69" max="70" width="8.375" style="100" hidden="1" customWidth="1"/>
    <col min="71" max="90" width="8.5" style="100" hidden="1"/>
    <col min="91" max="91" width="11.5" style="100" hidden="1" customWidth="1"/>
    <col min="92" max="94" width="8.5" style="100" hidden="1"/>
    <col min="95" max="95" width="8.375" style="100" hidden="1" customWidth="1"/>
    <col min="96" max="96" width="11.375" style="100" hidden="1" customWidth="1"/>
    <col min="97" max="97" width="8.5" style="100" hidden="1"/>
    <col min="98" max="98" width="8.25" style="100" hidden="1" customWidth="1"/>
    <col min="99" max="100" width="8.375" style="100" hidden="1" customWidth="1"/>
    <col min="101" max="102" width="8.5" style="100" hidden="1"/>
    <col min="103" max="103" width="8.875" style="100" hidden="1" customWidth="1"/>
    <col min="104" max="109" width="8.5" style="100" hidden="1"/>
    <col min="110" max="111" width="8.375" style="100" hidden="1" customWidth="1"/>
    <col min="112" max="114" width="8.5" style="100" hidden="1"/>
    <col min="115" max="116" width="8.375" style="100" hidden="1" customWidth="1"/>
    <col min="117" max="117" width="8.5" style="100" hidden="1"/>
    <col min="118" max="118" width="8.375" style="100" hidden="1" customWidth="1"/>
    <col min="119" max="119" width="10.875" style="100" hidden="1" customWidth="1"/>
    <col min="120" max="124" width="8.5" style="100" hidden="1"/>
    <col min="125" max="125" width="9" style="100" hidden="1" customWidth="1"/>
    <col min="126" max="128" width="8.5" style="100" hidden="1"/>
    <col min="129" max="129" width="8.375" style="100" hidden="1" customWidth="1"/>
    <col min="130" max="133" width="8.5" style="100" hidden="1"/>
    <col min="134" max="134" width="10.625" style="100" hidden="1" customWidth="1"/>
    <col min="135" max="135" width="8.375" style="100" hidden="1" customWidth="1"/>
    <col min="136" max="138" width="8.5" style="100" hidden="1"/>
    <col min="139" max="140" width="8.375" style="100" hidden="1" customWidth="1"/>
    <col min="141" max="145" width="8.5" style="100" hidden="1"/>
    <col min="146" max="146" width="8.375" style="100" hidden="1" customWidth="1"/>
    <col min="147" max="148" width="8.5" style="100" hidden="1"/>
    <col min="149" max="149" width="8.375" style="100" hidden="1" customWidth="1"/>
    <col min="150" max="151" width="8.5" style="100" hidden="1"/>
    <col min="152" max="152" width="8.25" style="100" hidden="1" customWidth="1"/>
    <col min="153" max="155" width="8.5" style="100" hidden="1"/>
    <col min="156" max="156" width="8.375" style="100" hidden="1" customWidth="1"/>
    <col min="157" max="157" width="14.625" style="100" hidden="1" customWidth="1"/>
    <col min="158" max="158" width="8.375" style="100" hidden="1" customWidth="1"/>
    <col min="159" max="159" width="12.375" style="100" hidden="1" customWidth="1"/>
    <col min="160" max="161" width="8.5" style="100" hidden="1"/>
    <col min="162" max="162" width="8.375" style="100" hidden="1" customWidth="1"/>
    <col min="163" max="164" width="8.5" style="100" hidden="1"/>
    <col min="165" max="165" width="8" style="100" hidden="1" customWidth="1"/>
    <col min="166" max="166" width="8.5" style="100" hidden="1"/>
    <col min="167" max="167" width="8.375" style="100" hidden="1" customWidth="1"/>
    <col min="168" max="169" width="8.5" style="100" hidden="1"/>
    <col min="170" max="170" width="9" style="100" hidden="1" customWidth="1"/>
    <col min="171" max="171" width="8.25" style="100" hidden="1" customWidth="1"/>
    <col min="172" max="172" width="8.375" style="100" hidden="1" customWidth="1"/>
    <col min="173" max="173" width="8.5" style="100" hidden="1"/>
    <col min="174" max="174" width="8.375" style="100" hidden="1" customWidth="1"/>
    <col min="175" max="175" width="8.5" style="100" hidden="1"/>
    <col min="176" max="176" width="8.375" style="100" hidden="1" customWidth="1"/>
    <col min="177" max="177" width="8.25" style="100" hidden="1" customWidth="1"/>
    <col min="178" max="179" width="8.5" style="100" hidden="1"/>
    <col min="180" max="180" width="8.25" style="100" hidden="1" customWidth="1"/>
    <col min="181" max="181" width="8.375" style="100" hidden="1" customWidth="1"/>
    <col min="182" max="183" width="8.5" style="100" hidden="1"/>
    <col min="184" max="184" width="11.875" style="100" hidden="1" customWidth="1"/>
    <col min="185" max="185" width="9.125" style="100" hidden="1" customWidth="1"/>
    <col min="186" max="186" width="8.5" style="100" hidden="1"/>
    <col min="187" max="187" width="10.25" style="100" hidden="1" customWidth="1"/>
    <col min="188" max="190" width="8.5" style="100" hidden="1"/>
    <col min="191" max="191" width="8.375" style="100" hidden="1" customWidth="1"/>
    <col min="192" max="192" width="8.5" style="100" hidden="1"/>
    <col min="193" max="193" width="8.25" style="100" hidden="1" customWidth="1"/>
    <col min="194" max="194" width="8.375" style="100" hidden="1" customWidth="1"/>
    <col min="195" max="198" width="8.5" style="100" hidden="1"/>
    <col min="199" max="201" width="8.375" style="100" hidden="1" customWidth="1"/>
    <col min="202" max="202" width="8.5" style="100" hidden="1"/>
    <col min="203" max="206" width="8.375" style="100" hidden="1" customWidth="1"/>
    <col min="207" max="209" width="8.5" style="100" hidden="1"/>
    <col min="210" max="210" width="8.125" style="100" hidden="1" customWidth="1"/>
    <col min="211" max="211" width="8.5" style="100" hidden="1"/>
    <col min="212" max="213" width="8.375" style="100" hidden="1" customWidth="1"/>
    <col min="214" max="214" width="7.875" style="100" hidden="1" customWidth="1"/>
    <col min="215" max="216" width="8.5" style="100" hidden="1"/>
    <col min="217" max="217" width="8.375" style="100" hidden="1" customWidth="1"/>
    <col min="218" max="219" width="8.5" style="100" hidden="1"/>
    <col min="220" max="220" width="8.375" style="100" hidden="1" customWidth="1"/>
    <col min="221" max="221" width="8.25" style="100" hidden="1" customWidth="1"/>
    <col min="222" max="222" width="8.375" style="100" hidden="1" customWidth="1"/>
    <col min="223" max="224" width="8.5" style="100" hidden="1"/>
    <col min="225" max="225" width="8.375" style="100" hidden="1" customWidth="1"/>
    <col min="226" max="227" width="8.5" style="100" hidden="1"/>
    <col min="228" max="231" width="8.375" style="100" hidden="1" customWidth="1"/>
    <col min="232" max="233" width="8.5" style="100" hidden="1"/>
    <col min="234" max="234" width="8.375" style="100" hidden="1" customWidth="1"/>
    <col min="235" max="235" width="8.25" style="100" hidden="1" customWidth="1"/>
    <col min="236" max="236" width="8.375" style="100" hidden="1" customWidth="1"/>
    <col min="237" max="237" width="8.5" style="100" hidden="1"/>
    <col min="238" max="238" width="8.25" style="100" hidden="1" customWidth="1"/>
    <col min="239" max="242" width="8.375" style="100" hidden="1" customWidth="1"/>
    <col min="243" max="243" width="10" style="100" hidden="1" customWidth="1"/>
    <col min="244" max="244" width="8.375" style="100" hidden="1" customWidth="1"/>
    <col min="245" max="249" width="8.5" style="100" hidden="1"/>
    <col min="250" max="250" width="8.375" style="100" hidden="1" customWidth="1"/>
    <col min="251" max="254" width="8.5" style="100" hidden="1"/>
    <col min="255" max="256" width="8.375" style="100" hidden="1" customWidth="1"/>
    <col min="257" max="259" width="8.5" style="100" hidden="1"/>
    <col min="260" max="261" width="8.375" style="100" hidden="1" customWidth="1"/>
    <col min="262" max="263" width="8.5" style="100" hidden="1"/>
    <col min="264" max="264" width="8.25" style="100" hidden="1" customWidth="1"/>
    <col min="265" max="265" width="8.5" style="100" hidden="1"/>
    <col min="266" max="266" width="8.375" style="100" hidden="1" customWidth="1"/>
    <col min="267" max="267" width="8.5" style="100" hidden="1"/>
    <col min="268" max="268" width="8.875" style="100" hidden="1" customWidth="1"/>
    <col min="269" max="269" width="10.375" style="100" hidden="1" customWidth="1"/>
    <col min="270" max="270" width="8.5" style="100" hidden="1"/>
    <col min="271" max="273" width="8.375" style="100" hidden="1" customWidth="1"/>
    <col min="274" max="276" width="8.5" style="100" hidden="1"/>
    <col min="277" max="277" width="8.25" style="100" hidden="1" customWidth="1"/>
    <col min="278" max="278" width="8.375" style="100" hidden="1" customWidth="1"/>
    <col min="279" max="282" width="8.5" style="100" hidden="1"/>
    <col min="283" max="283" width="8.25" style="100" hidden="1" customWidth="1"/>
    <col min="284" max="284" width="8.375" style="100" hidden="1" customWidth="1"/>
    <col min="285" max="286" width="8.25" style="100" hidden="1" customWidth="1"/>
    <col min="287" max="288" width="8.375" style="100" hidden="1" customWidth="1"/>
    <col min="289" max="295" width="8.5" style="100" hidden="1"/>
    <col min="296" max="296" width="8.125" style="100" hidden="1" customWidth="1"/>
    <col min="297" max="297" width="8.5" style="100" hidden="1"/>
    <col min="298" max="298" width="7.875" style="100" hidden="1" customWidth="1"/>
    <col min="299" max="300" width="8.5" style="100" hidden="1"/>
    <col min="301" max="308" width="8.25" style="100" hidden="1" customWidth="1"/>
    <col min="309" max="309" width="7.625" style="100" hidden="1" customWidth="1"/>
    <col min="310" max="310" width="8.375" style="100" hidden="1" customWidth="1"/>
    <col min="311" max="311" width="8.25" style="100" hidden="1" customWidth="1"/>
    <col min="312" max="313" width="8.375" style="100" hidden="1" customWidth="1"/>
    <col min="314" max="314" width="8.5" style="100" hidden="1"/>
    <col min="315" max="315" width="8.375" style="100" hidden="1" customWidth="1"/>
    <col min="316" max="316" width="8.5" style="100" hidden="1"/>
    <col min="317" max="318" width="8.375" style="100" hidden="1" customWidth="1"/>
    <col min="319" max="319" width="8.5" style="100" hidden="1"/>
    <col min="320" max="321" width="8.375" style="100" hidden="1" customWidth="1"/>
    <col min="322" max="324" width="8.5" style="100" hidden="1"/>
    <col min="325" max="325" width="8.375" style="100" hidden="1" customWidth="1"/>
    <col min="326" max="329" width="8.5" style="100" hidden="1"/>
    <col min="330" max="330" width="9.375" style="100" hidden="1" customWidth="1"/>
    <col min="331" max="334" width="8.5" style="100" hidden="1"/>
    <col min="335" max="335" width="8.375" style="100" hidden="1" customWidth="1"/>
    <col min="336" max="336" width="8.5" style="100" hidden="1"/>
    <col min="337" max="337" width="8.375" style="100" hidden="1" customWidth="1"/>
    <col min="338" max="338" width="6.5" style="100" hidden="1" customWidth="1"/>
    <col min="339" max="16384" width="8.5" style="100" hidden="1"/>
  </cols>
  <sheetData>
    <row r="1" spans="1:13" hidden="1" x14ac:dyDescent="0.2">
      <c r="A1" s="216" t="s">
        <v>471</v>
      </c>
    </row>
    <row r="2" spans="1:13" ht="36" customHeight="1" x14ac:dyDescent="0.2">
      <c r="A2" s="101" t="s">
        <v>472</v>
      </c>
      <c r="B2" s="101"/>
      <c r="C2" s="101"/>
      <c r="D2" s="101"/>
      <c r="E2" s="101"/>
      <c r="F2" s="101"/>
      <c r="G2" s="101"/>
      <c r="H2" s="101"/>
      <c r="I2" s="217"/>
      <c r="J2" s="217"/>
      <c r="K2" s="217" t="str">
        <f>'Auto Responses'!$A$36</f>
        <v>Version 4.1.6</v>
      </c>
      <c r="L2" s="217"/>
      <c r="M2" s="217"/>
    </row>
    <row r="3" spans="1:13" ht="22.5" customHeight="1" x14ac:dyDescent="0.2">
      <c r="A3" s="105"/>
      <c r="B3" s="105"/>
      <c r="C3" s="105"/>
      <c r="D3" s="105"/>
      <c r="E3" s="105"/>
      <c r="F3" s="105"/>
      <c r="G3" s="105"/>
      <c r="H3" s="105"/>
      <c r="I3" s="105"/>
      <c r="J3" s="105"/>
      <c r="K3" s="105"/>
      <c r="L3" s="105"/>
      <c r="M3" s="105"/>
    </row>
    <row r="4" spans="1:13" ht="36" customHeight="1" x14ac:dyDescent="0.2">
      <c r="A4" s="106" t="s">
        <v>473</v>
      </c>
      <c r="B4" s="107"/>
      <c r="C4" s="107"/>
      <c r="D4" s="107"/>
      <c r="E4" s="107"/>
      <c r="F4" s="107"/>
      <c r="G4" s="107"/>
      <c r="H4" s="107"/>
      <c r="I4" s="107"/>
      <c r="J4" s="107"/>
      <c r="K4" s="107"/>
      <c r="L4" s="107"/>
      <c r="M4" s="107"/>
    </row>
    <row r="5" spans="1:13" ht="19.5" customHeight="1" x14ac:dyDescent="0.2">
      <c r="A5" s="218" t="str">
        <f>HLOOKUP($A$4,'Auto Responses'!$H$2:$H$5,2,0)&amp;""</f>
        <v xml:space="preserve">1. The scorecard below reflects those questions marked as "Critical Importance" or those where the "Non-Negotiable" box was checked. </v>
      </c>
      <c r="B5" s="219"/>
      <c r="C5" s="219"/>
      <c r="D5" s="219"/>
      <c r="E5" s="219"/>
      <c r="F5" s="219"/>
      <c r="G5" s="219"/>
      <c r="H5" s="219"/>
      <c r="I5" s="219"/>
      <c r="J5" s="111"/>
      <c r="K5" s="111"/>
      <c r="L5" s="111"/>
      <c r="M5" s="111"/>
    </row>
    <row r="6" spans="1:13" s="221" customFormat="1" ht="19.5" customHeight="1" x14ac:dyDescent="0.2">
      <c r="A6" s="218" t="str">
        <f>HLOOKUP($A$4,'Auto Responses'!$H$2:$H$5,3,0)&amp;""</f>
        <v xml:space="preserve">2. Use these condensed, aggregated views to review those questions that pose the highest risk. </v>
      </c>
      <c r="B6" s="218"/>
      <c r="C6" s="218"/>
      <c r="D6" s="218"/>
      <c r="E6" s="218"/>
      <c r="F6" s="218"/>
      <c r="G6" s="218"/>
      <c r="H6" s="218"/>
      <c r="I6" s="218"/>
      <c r="J6" s="220"/>
      <c r="K6" s="220"/>
      <c r="L6" s="220"/>
      <c r="M6" s="220"/>
    </row>
    <row r="7" spans="1:13" ht="19.5" customHeight="1" x14ac:dyDescent="0.2">
      <c r="A7" s="218" t="str">
        <f>HLOOKUP($A$4,'Auto Responses'!$H$2:$H$5,4,0)&amp;""</f>
        <v>3. Changes cannot be made in this sheet. Please make changes in the appropriate "Evaluation" tab.</v>
      </c>
      <c r="B7" s="219"/>
      <c r="C7" s="219"/>
      <c r="D7" s="219"/>
      <c r="E7" s="219"/>
      <c r="F7" s="219"/>
      <c r="G7" s="219"/>
      <c r="H7" s="219"/>
      <c r="I7" s="219"/>
      <c r="J7" s="111"/>
      <c r="K7" s="111"/>
      <c r="L7" s="111"/>
      <c r="M7" s="111"/>
    </row>
    <row r="8" spans="1:13" ht="19.5" customHeight="1" x14ac:dyDescent="0.2">
      <c r="A8" s="30" t="s">
        <v>474</v>
      </c>
      <c r="B8" s="219"/>
      <c r="C8" s="219"/>
      <c r="D8" s="219"/>
      <c r="E8" s="219"/>
      <c r="F8" s="219"/>
      <c r="G8" s="219"/>
      <c r="H8" s="219"/>
      <c r="I8" s="219"/>
      <c r="J8" s="111"/>
      <c r="K8" s="111"/>
      <c r="L8" s="111"/>
      <c r="M8" s="111"/>
    </row>
    <row r="9" spans="1:13" s="120" customFormat="1" ht="25.5" customHeight="1" x14ac:dyDescent="0.2">
      <c r="A9" s="112" t="str">
        <f>'START HERE'!$B$13</f>
        <v>Solution Provider Name</v>
      </c>
      <c r="B9" s="113"/>
      <c r="C9" s="114" t="str">
        <f>VLOOKUP($A9,'START HERE'!$B$13:$C$21,2,0)&amp;""</f>
        <v>SmartPLS GmbH</v>
      </c>
      <c r="D9" s="115"/>
      <c r="E9" s="222"/>
      <c r="F9" s="118"/>
      <c r="G9" s="118"/>
      <c r="H9" s="119"/>
      <c r="I9" s="118"/>
      <c r="J9" s="118"/>
    </row>
    <row r="10" spans="1:13" s="120" customFormat="1" ht="25.5" customHeight="1" x14ac:dyDescent="0.2">
      <c r="A10" s="121" t="str">
        <f>'START HERE'!$B$16</f>
        <v>Solution Provider Contact Name</v>
      </c>
      <c r="B10" s="122"/>
      <c r="C10" s="123" t="str">
        <f>VLOOKUP($A10,'START HERE'!$B$13:$C$21,2,0)&amp;""</f>
        <v>Sven Wende</v>
      </c>
      <c r="D10" s="124"/>
      <c r="E10" s="223"/>
      <c r="F10" s="118"/>
      <c r="G10" s="118"/>
      <c r="H10" s="119"/>
      <c r="I10" s="118"/>
      <c r="J10" s="118"/>
    </row>
    <row r="11" spans="1:13" s="120" customFormat="1" ht="25.5" customHeight="1" x14ac:dyDescent="0.2">
      <c r="A11" s="121" t="str">
        <f>'START HERE'!$B$17</f>
        <v>Solution Provider Contact Title</v>
      </c>
      <c r="B11" s="122"/>
      <c r="C11" s="123" t="str">
        <f>VLOOKUP($A11,'START HERE'!$B$13:$C$21,2,0)&amp;""</f>
        <v>Co-Founder &amp; Managing Director</v>
      </c>
      <c r="D11" s="124"/>
      <c r="E11" s="223"/>
      <c r="F11" s="118"/>
      <c r="G11" s="118"/>
      <c r="H11" s="119"/>
      <c r="I11" s="118"/>
      <c r="J11" s="118"/>
    </row>
    <row r="12" spans="1:13" s="120" customFormat="1" ht="25.5" customHeight="1" x14ac:dyDescent="0.2">
      <c r="A12" s="121" t="str">
        <f>'START HERE'!$B$18</f>
        <v>Solution Provider Contact Email</v>
      </c>
      <c r="B12" s="122"/>
      <c r="C12" s="123" t="str">
        <f>VLOOKUP($A12,'START HERE'!$B$13:$C$21,2,0)&amp;""</f>
        <v>s.wende@smartpls.gmbh</v>
      </c>
      <c r="D12" s="124"/>
      <c r="E12" s="223"/>
      <c r="F12" s="224"/>
    </row>
    <row r="13" spans="1:13" s="120" customFormat="1" ht="25.5" customHeight="1" x14ac:dyDescent="0.2">
      <c r="A13" s="121" t="str">
        <f>'START HERE'!$B$14</f>
        <v>Solution Name</v>
      </c>
      <c r="B13" s="122"/>
      <c r="C13" s="123" t="str">
        <f>VLOOKUP($A13,'START HERE'!$B$13:$C$21,2,0)&amp;""</f>
        <v>SmartPLS 4.1.1.9 (SmartPLS Desktop)</v>
      </c>
      <c r="D13" s="124"/>
      <c r="E13" s="223"/>
      <c r="F13" s="224"/>
    </row>
    <row r="14" spans="1:13" s="120" customFormat="1" ht="25.5" customHeight="1" x14ac:dyDescent="0.2">
      <c r="A14" s="121" t="str">
        <f>'START HERE'!$B$15</f>
        <v>Solution Description</v>
      </c>
      <c r="B14" s="122"/>
      <c r="C14" s="123" t="str">
        <f>VLOOKUP($A14,'START HERE'!$B$13:$C$21,2,0)&amp;""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4" s="124"/>
      <c r="E14" s="223"/>
      <c r="F14" s="224"/>
    </row>
    <row r="15" spans="1:13" s="120" customFormat="1" ht="25.5" customHeight="1" x14ac:dyDescent="0.2">
      <c r="A15" s="127" t="s">
        <v>428</v>
      </c>
      <c r="B15" s="128"/>
      <c r="C15" s="129">
        <f>'START HERE'!$C$3</f>
        <v>0</v>
      </c>
      <c r="D15" s="130"/>
      <c r="E15" s="225"/>
      <c r="F15" s="224"/>
    </row>
    <row r="16" spans="1:13" x14ac:dyDescent="0.2">
      <c r="A16" s="226" t="s">
        <v>475</v>
      </c>
      <c r="C16" s="227"/>
    </row>
    <row r="17" spans="1:338" s="134" customFormat="1" ht="24" customHeight="1" x14ac:dyDescent="0.2">
      <c r="A17" s="1"/>
      <c r="B17" s="1"/>
      <c r="C17" s="1"/>
    </row>
    <row r="18" spans="1:338" ht="36.75" customHeight="1" x14ac:dyDescent="0.2">
      <c r="B18" s="136" t="s">
        <v>430</v>
      </c>
      <c r="C18" s="137" t="s">
        <v>476</v>
      </c>
      <c r="D18" s="138" t="s">
        <v>432</v>
      </c>
      <c r="E18" s="139" t="s">
        <v>433</v>
      </c>
      <c r="F18" s="228" t="s">
        <v>434</v>
      </c>
    </row>
    <row r="19" spans="1:338" s="143" customFormat="1" ht="36.75" customHeight="1" x14ac:dyDescent="0.2">
      <c r="B19" s="229" t="s">
        <v>477</v>
      </c>
      <c r="C19" s="230">
        <f>SUM('(backend scoring)'!$Q$3:$Q$333)</f>
        <v>0</v>
      </c>
      <c r="D19" s="231">
        <f>SUMIF('(backend scoring)'!$Q$3:$Q$333,1,'(backend scoring)'!$O$3:$O$333)</f>
        <v>0</v>
      </c>
      <c r="E19" s="231">
        <f>SUMIF('(backend scoring)'!$Q$3:$Q$333,1,'(backend scoring)'!$P$3:$P$333)</f>
        <v>0</v>
      </c>
      <c r="F19" s="232" t="str">
        <f>IF(D19=0,'Auto Responses'!$J$5,E19/D19)</f>
        <v>N/A</v>
      </c>
    </row>
    <row r="20" spans="1:338" s="143" customFormat="1" ht="36.75" customHeight="1" x14ac:dyDescent="0.15">
      <c r="B20" s="229" t="s">
        <v>478</v>
      </c>
      <c r="C20" s="230">
        <f>SUM('(backend scoring)'!$T$3:$T$333)</f>
        <v>87</v>
      </c>
      <c r="D20" s="231">
        <f>SUMIF('(backend scoring)'!$N$3:$N$333,1,'(backend scoring)'!$O$3:$O$333)</f>
        <v>420</v>
      </c>
      <c r="E20" s="231">
        <f>SUMIF('(backend scoring)'!$N$3:$N$333,1,'(backend scoring)'!$P$3:$P$333)</f>
        <v>280</v>
      </c>
      <c r="F20" s="232">
        <f>IF(D20=0,'Auto Responses'!$J$5,E20/D20)</f>
        <v>0.66666666666666663</v>
      </c>
      <c r="G20" s="62" t="s">
        <v>35</v>
      </c>
    </row>
    <row r="21" spans="1:338" x14ac:dyDescent="0.2">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 customHeight="1" x14ac:dyDescent="0.2">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x14ac:dyDescent="0.2">
      <c r="A23" s="233" t="s">
        <v>479</v>
      </c>
      <c r="B23" s="234"/>
      <c r="C23" s="234"/>
      <c r="D23" s="234"/>
      <c r="E23" s="234"/>
      <c r="F23" s="235"/>
      <c r="G23" s="236"/>
      <c r="H23" s="233" t="s">
        <v>480</v>
      </c>
      <c r="I23" s="234"/>
      <c r="J23" s="234"/>
      <c r="K23" s="234"/>
      <c r="L23" s="234"/>
      <c r="M23" s="235"/>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2">
      <c r="A24" s="237"/>
      <c r="B24" s="238" t="s">
        <v>481</v>
      </c>
      <c r="C24" s="238" t="s">
        <v>461</v>
      </c>
      <c r="D24" s="238" t="s">
        <v>21</v>
      </c>
      <c r="E24" s="238" t="s">
        <v>22</v>
      </c>
      <c r="F24" s="239" t="s">
        <v>24</v>
      </c>
      <c r="G24" s="240"/>
      <c r="H24" s="237"/>
      <c r="I24" s="238" t="s">
        <v>481</v>
      </c>
      <c r="J24" s="238" t="s">
        <v>461</v>
      </c>
      <c r="K24" s="238" t="s">
        <v>21</v>
      </c>
      <c r="L24" s="238" t="s">
        <v>22</v>
      </c>
      <c r="M24" s="239" t="s">
        <v>24</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2">
      <c r="A25" s="241">
        <v>1</v>
      </c>
      <c r="B25" s="241" t="str">
        <f>_xlfn.XLOOKUP($A25,'(backend scoring)'!$V$2:$V$333,'(backend scoring)'!$A$2:$A$333,"")</f>
        <v>DOCU-01</v>
      </c>
      <c r="C25" s="241" t="str">
        <f>IFERROR(VLOOKUP($B25,'Institution Evaluation'!$A$55:$F$345,2,0),IFERROR(VLOOKUP($B25,'Privacy Analyst Evaluation'!$A$46:$F$120,2,0),""))&amp;""</f>
        <v>Do you have a well-documented business continuity plan (BCP), with a clear owner, that is tested annually?*</v>
      </c>
      <c r="D25" s="241" t="str">
        <f>IFERROR(VLOOKUP($B25,'Institution Evaluation'!$A$55:$F$345,3,0),IFERROR(VLOOKUP($B25,'Privacy Analyst Evaluation'!$A$46:$F$120,3,0),""))&amp;""</f>
        <v>No</v>
      </c>
      <c r="E25" s="241" t="str">
        <f>IFERROR(VLOOKUP($B25,'Institution Evaluation'!$A$55:$F$345,4,0),IFERROR(VLOOKUP($B25,'Privacy Analyst Evaluation'!$A$46:$F$120,4,0),""))&amp;""</f>
        <v/>
      </c>
      <c r="F25" s="241" t="str">
        <f>IFERROR(VLOOKUP($B25,'Institution Evaluation'!$A$55:$F$345,6,0),IFERROR(VLOOKUP($B25,'Privacy Analyst Evaluation'!$A$46:$F$120,6,0),""))&amp;""</f>
        <v/>
      </c>
      <c r="G25" s="242"/>
      <c r="H25" s="241">
        <v>1</v>
      </c>
      <c r="I25" s="241" t="str">
        <f>_xlfn.XLOOKUP($H25,'(backend scoring)'!$S$2:$S$333,'(backend scoring)'!$A$2:$A$333,"")</f>
        <v/>
      </c>
      <c r="J25" s="241" t="str">
        <f>IFERROR(VLOOKUP($I25,'Institution Evaluation'!$A$55:$F$345,2,0),IFERROR(VLOOKUP($I25,'Privacy Analyst Evaluation'!$A$46:$F$120,2,0),""))&amp;""</f>
        <v/>
      </c>
      <c r="K25" s="241" t="str">
        <f>IFERROR(VLOOKUP($I25,'Institution Evaluation'!$A$55:$F$345,3,0),IFERROR(VLOOKUP($I25,'Privacy Analyst Evaluation'!$A$46:$F$120,3,0),""))&amp;""</f>
        <v/>
      </c>
      <c r="L25" s="241" t="str">
        <f>IFERROR(VLOOKUP($I25,'Institution Evaluation'!$A$55:$F$345,4,0),IFERROR(VLOOKUP($I25,'Privacy Analyst Evaluation'!$A$46:$F$120,4,0),""))&amp;""</f>
        <v/>
      </c>
      <c r="M25" s="241" t="str">
        <f>IFERROR(VLOOKUP($I25,'Institution Evaluation'!$A$55:$F$345,6,0),IFERROR(VLOOKUP($I25,'Privacy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2">
      <c r="A26" s="241">
        <f>IFERROR(IF($A25+1&gt;'(backend scoring)'!$T$335,"",$A25+1),"")</f>
        <v>2</v>
      </c>
      <c r="B26" s="241" t="str">
        <f>_xlfn.XLOOKUP($A26,'(backend scoring)'!$V$2:$V$333,'(backend scoring)'!$A$2:$A$333,"")</f>
        <v>DOCU-02</v>
      </c>
      <c r="C26" s="241" t="str">
        <f>IFERROR(VLOOKUP($B26,'Institution Evaluation'!$A$55:$F$345,2,0),IFERROR(VLOOKUP($B26,'Privacy Analyst Evaluation'!$A$46:$F$120,2,0),""))&amp;""</f>
        <v>Do you have a well-documented disaster recovery plan (DRP), with a clear owner, that is tested annually?*</v>
      </c>
      <c r="D26" s="241" t="str">
        <f>IFERROR(VLOOKUP($B26,'Institution Evaluation'!$A$55:$F$345,3,0),IFERROR(VLOOKUP($B26,'Privacy Analyst Evaluation'!$A$46:$F$120,3,0),""))&amp;""</f>
        <v>No</v>
      </c>
      <c r="E26" s="241" t="str">
        <f>IFERROR(VLOOKUP($B26,'Institution Evaluation'!$A$55:$F$345,4,0),IFERROR(VLOOKUP($B26,'Privacy Analyst Evaluation'!$A$46:$F$120,4,0),""))&amp;""</f>
        <v/>
      </c>
      <c r="F26" s="241" t="str">
        <f>IFERROR(VLOOKUP($B26,'Institution Evaluation'!$A$55:$F$345,6,0),IFERROR(VLOOKUP($B26,'Privacy Analyst Evaluation'!$A$46:$F$120,6,0),""))&amp;""</f>
        <v/>
      </c>
      <c r="G26" s="242"/>
      <c r="H26" s="241" t="str">
        <f>IFERROR(IF($H25+1&gt;'(backend scoring)'!$Q$335,"",$H25+1),"")</f>
        <v/>
      </c>
      <c r="I26" s="241" t="str">
        <f>_xlfn.XLOOKUP($H26,'(backend scoring)'!$S$2:$S$333,'(backend scoring)'!$A$2:$A$333,"")</f>
        <v/>
      </c>
      <c r="J26" s="241" t="str">
        <f>IFERROR(VLOOKUP($I26,'Institution Evaluation'!$A$55:$F$345,2,0),IFERROR(VLOOKUP($I26,'Privacy Analyst Evaluation'!$A$46:$F$120,2,0),""))</f>
        <v/>
      </c>
      <c r="K26" s="241" t="str">
        <f>IFERROR(VLOOKUP($I26,'Institution Evaluation'!$A$55:$F$345,3,0),IFERROR(VLOOKUP($I26,'Privacy Analyst Evaluation'!$A$46:$F$120,3,0),""))&amp;""</f>
        <v/>
      </c>
      <c r="L26" s="241" t="str">
        <f>IFERROR(VLOOKUP($I26,'Institution Evaluation'!$A$55:$F$345,4,0),IFERROR(VLOOKUP($I26,'Privacy Analyst Evaluation'!$A$46:$F$120,4,0),""))&amp;""</f>
        <v/>
      </c>
      <c r="M26" s="241" t="str">
        <f>IFERROR(VLOOKUP($I26,'Institution Evaluation'!$A$55:$F$345,6,0),IFERROR(VLOOKUP($I26,'Privacy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2">
      <c r="A27" s="241">
        <f>IFERROR(IF($A26+1&gt;'(backend scoring)'!$T$335,"",$A26+1),"")</f>
        <v>3</v>
      </c>
      <c r="B27" s="241" t="str">
        <f>_xlfn.XLOOKUP($A27,'(backend scoring)'!$V$2:$V$333,'(backend scoring)'!$A$2:$A$333,"")</f>
        <v>ITAC-06</v>
      </c>
      <c r="C27" s="241" t="str">
        <f>IFERROR(VLOOKUP($B27,'Institution Evaluation'!$A$55:$F$345,2,0),IFERROR(VLOOKUP($B27,'Privacy Analyst Evaluation'!$A$46:$F$120,2,0),""))&amp;""</f>
        <v>Has a VPAT or ACR been created or updated for the solution and version under consideration within the past 12 months?*</v>
      </c>
      <c r="D27" s="241" t="str">
        <f>IFERROR(VLOOKUP($B27,'Institution Evaluation'!$A$55:$F$345,3,0),IFERROR(VLOOKUP($B27,'Privacy Analyst Evaluation'!$A$46:$F$120,3,0),""))&amp;""</f>
        <v>Yes</v>
      </c>
      <c r="E27" s="241" t="str">
        <f>IFERROR(VLOOKUP($B27,'Institution Evaluation'!$A$55:$F$345,4,0),IFERROR(VLOOKUP($B27,'Privacy Analyst Evaluation'!$A$46:$F$120,4,0),""))&amp;""</f>
        <v>The VPAT/Accessibility Conformance Report was updated for SmartPLS 4.1.1.9 and is published at https://smartpls.com/accessibility.</v>
      </c>
      <c r="F27" s="241" t="str">
        <f>IFERROR(VLOOKUP($B27,'Institution Evaluation'!$A$55:$F$345,6,0),IFERROR(VLOOKUP($B27,'Privacy Analyst Evaluation'!$A$46:$F$120,6,0),""))&amp;""</f>
        <v/>
      </c>
      <c r="G27" s="242"/>
      <c r="H27" s="241" t="str">
        <f>IFERROR(IF($H26+1&gt;'(backend scoring)'!$Q$335,"",$H26+1),"")</f>
        <v/>
      </c>
      <c r="I27" s="241" t="str">
        <f>_xlfn.XLOOKUP($H27,'(backend scoring)'!$S$2:$S$333,'(backend scoring)'!$A$2:$A$333,"")</f>
        <v/>
      </c>
      <c r="J27" s="241" t="str">
        <f>IFERROR(VLOOKUP($I27,'Institution Evaluation'!$A$55:$F$345,2,0),IFERROR(VLOOKUP($I27,'Privacy Analyst Evaluation'!$A$46:$F$120,2,0),""))</f>
        <v/>
      </c>
      <c r="K27" s="241" t="str">
        <f>IFERROR(VLOOKUP($I27,'Institution Evaluation'!$A$55:$F$345,3,0),IFERROR(VLOOKUP($I27,'Privacy Analyst Evaluation'!$A$46:$F$120,3,0),""))&amp;""</f>
        <v/>
      </c>
      <c r="L27" s="241" t="str">
        <f>IFERROR(VLOOKUP($I27,'Institution Evaluation'!$A$55:$F$345,4,0),IFERROR(VLOOKUP($I27,'Privacy Analyst Evaluation'!$A$46:$F$120,4,0),""))&amp;""</f>
        <v/>
      </c>
      <c r="M27" s="241" t="str">
        <f>IFERROR(VLOOKUP($I27,'Institution Evaluation'!$A$55:$F$345,6,0),IFERROR(VLOOKUP($I27,'Privacy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75" customHeight="1" x14ac:dyDescent="0.2">
      <c r="A28" s="241">
        <f>IFERROR(IF($A27+1&gt;'(backend scoring)'!$T$335,"",$A27+1),"")</f>
        <v>4</v>
      </c>
      <c r="B28" s="241" t="str">
        <f>_xlfn.XLOOKUP($A28,'(backend scoring)'!$V$2:$V$333,'(backend scoring)'!$A$2:$A$333,"")</f>
        <v>ITAC-07</v>
      </c>
      <c r="C28" s="241" t="str">
        <f>IFERROR(VLOOKUP($B28,'Institution Evaluation'!$A$55:$F$345,2,0),IFERROR(VLOOKUP($B28,'Privacy Analyst Evaluation'!$A$46:$F$120,2,0),""))&amp;""</f>
        <v>Will your company agree to meet your stated accessibility standard or WCAG 2.1 AA as part of your contractual agreement for the solution?*</v>
      </c>
      <c r="D28" s="241" t="str">
        <f>IFERROR(VLOOKUP($B28,'Institution Evaluation'!$A$55:$F$345,3,0),IFERROR(VLOOKUP($B28,'Privacy Analyst Evaluation'!$A$46:$F$120,3,0),""))&amp;""</f>
        <v>No</v>
      </c>
      <c r="E28" s="241" t="str">
        <f>IFERROR(VLOOKUP($B28,'Institution Evaluation'!$A$55:$F$345,4,0),IFERROR(VLOOKUP($B28,'Privacy Analyst Evaluation'!$A$46:$F$120,4,0),""))&amp;""</f>
        <v>SmartPLS GmbH does not currently offer a contractual commitment to WCAG 2.1 AA conformance.</v>
      </c>
      <c r="F28" s="241" t="str">
        <f>IFERROR(VLOOKUP($B28,'Institution Evaluation'!$A$55:$F$345,6,0),IFERROR(VLOOKUP($B28,'Privacy Analyst Evaluation'!$A$46:$F$120,6,0),""))&amp;""</f>
        <v/>
      </c>
      <c r="G28" s="242"/>
      <c r="H28" s="241" t="str">
        <f>IFERROR(IF($H27+1&gt;'(backend scoring)'!$Q$335,"",$H27+1),"")</f>
        <v/>
      </c>
      <c r="I28" s="241" t="str">
        <f>_xlfn.XLOOKUP($H28,'(backend scoring)'!$S$2:$S$333,'(backend scoring)'!$A$2:$A$333,"")</f>
        <v/>
      </c>
      <c r="J28" s="241" t="str">
        <f>IFERROR(VLOOKUP($I28,'Institution Evaluation'!$A$55:$F$345,2,0),IFERROR(VLOOKUP($I28,'Privacy Analyst Evaluation'!$A$46:$F$120,2,0),""))</f>
        <v/>
      </c>
      <c r="K28" s="241" t="str">
        <f>IFERROR(VLOOKUP($I28,'Institution Evaluation'!$A$55:$F$345,3,0),IFERROR(VLOOKUP($I28,'Privacy Analyst Evaluation'!$A$46:$F$120,3,0),""))&amp;""</f>
        <v/>
      </c>
      <c r="L28" s="241" t="str">
        <f>IFERROR(VLOOKUP($I28,'Institution Evaluation'!$A$55:$F$345,4,0),IFERROR(VLOOKUP($I28,'Privacy Analyst Evaluation'!$A$46:$F$120,4,0),""))&amp;""</f>
        <v/>
      </c>
      <c r="M28" s="241" t="str">
        <f>IFERROR(VLOOKUP($I28,'Institution Evaluation'!$A$55:$F$345,6,0),IFERROR(VLOOKUP($I28,'Privacy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30" customHeight="1" x14ac:dyDescent="0.2">
      <c r="A29" s="241">
        <f>IFERROR(IF($A28+1&gt;'(backend scoring)'!$T$335,"",$A28+1),"")</f>
        <v>5</v>
      </c>
      <c r="B29" s="241" t="str">
        <f>_xlfn.XLOOKUP($A29,'(backend scoring)'!$V$2:$V$333,'(backend scoring)'!$A$2:$A$333,"")</f>
        <v>ITAC-08</v>
      </c>
      <c r="C29" s="241" t="str">
        <f>IFERROR(VLOOKUP($B29,'Institution Evaluation'!$A$55:$F$345,2,0),IFERROR(VLOOKUP($B29,'Privacy Analyst Evaluation'!$A$46:$F$120,2,0),""))&amp;""</f>
        <v>Does the solution substantially conform to WCAG 2.1 AA?*</v>
      </c>
      <c r="D29" s="241" t="str">
        <f>IFERROR(VLOOKUP($B29,'Institution Evaluation'!$A$55:$F$345,3,0),IFERROR(VLOOKUP($B29,'Privacy Analyst Evaluation'!$A$46:$F$120,3,0),""))&amp;""</f>
        <v>No</v>
      </c>
      <c r="E29" s="241" t="str">
        <f>IFERROR(VLOOKUP($B29,'Institution Evaluation'!$A$55:$F$345,4,0),IFERROR(VLOOKUP($B29,'Privacy Analyst Evaluation'!$A$46:$F$120,4,0),""))&amp;""</f>
        <v>SmartPLS 4.1.1.9 provides partial conformance with substantial improvements. Core model-building is keyboard accessible; the toolbar is reachable with Tab and Shift+Tab; projects and files open with Enter; and context menus open with the Context Menu key or Shift+F10. Focus is visible on nearly all controls, contrast was reviewed, and zoom behavior was largely improved. Remaining limitations include a model that is not meaningfully accessible to screen readers, status and error messages that are not announced automatically, information conveyed only by color, minor keyboard barriers, and no completed Windows screen-reader testing.</v>
      </c>
      <c r="F29" s="241" t="str">
        <f>IFERROR(VLOOKUP($B29,'Institution Evaluation'!$A$55:$F$345,6,0),IFERROR(VLOOKUP($B29,'Privacy Analyst Evaluation'!$A$46:$F$120,6,0),""))&amp;""</f>
        <v/>
      </c>
      <c r="G29" s="242"/>
      <c r="H29" s="241" t="str">
        <f>IFERROR(IF($H28+1&gt;'(backend scoring)'!$Q$335,"",$H28+1),"")</f>
        <v/>
      </c>
      <c r="I29" s="241" t="str">
        <f>_xlfn.XLOOKUP($H29,'(backend scoring)'!$S$2:$S$333,'(backend scoring)'!$A$2:$A$333,"")</f>
        <v/>
      </c>
      <c r="J29" s="241" t="str">
        <f>IFERROR(VLOOKUP($I29,'Institution Evaluation'!$A$55:$F$345,2,0),IFERROR(VLOOKUP($I29,'Privacy Analyst Evaluation'!$A$46:$F$120,2,0),""))</f>
        <v/>
      </c>
      <c r="K29" s="241" t="str">
        <f>IFERROR(VLOOKUP($I29,'Institution Evaluation'!$A$55:$F$345,3,0),IFERROR(VLOOKUP($I29,'Privacy Analyst Evaluation'!$A$46:$F$120,3,0),""))&amp;""</f>
        <v/>
      </c>
      <c r="L29" s="241" t="str">
        <f>IFERROR(VLOOKUP($I29,'Institution Evaluation'!$A$55:$F$345,4,0),IFERROR(VLOOKUP($I29,'Privacy Analyst Evaluation'!$A$46:$F$120,4,0),""))&amp;""</f>
        <v/>
      </c>
      <c r="M29" s="241" t="str">
        <f>IFERROR(VLOOKUP($I29,'Institution Evaluation'!$A$55:$F$345,6,0),IFERROR(VLOOKUP($I29,'Privacy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60" customHeight="1" x14ac:dyDescent="0.2">
      <c r="A30" s="241">
        <f>IFERROR(IF($A29+1&gt;'(backend scoring)'!$T$335,"",$A29+1),"")</f>
        <v>6</v>
      </c>
      <c r="B30" s="241" t="str">
        <f>_xlfn.XLOOKUP($A30,'(backend scoring)'!$V$2:$V$333,'(backend scoring)'!$A$2:$A$333,"")</f>
        <v>ITAC-09</v>
      </c>
      <c r="C30" s="241" t="str">
        <f>IFERROR(VLOOKUP($B30,'Institution Evaluation'!$A$55:$F$345,2,0),IFERROR(VLOOKUP($B30,'Privacy Analyst Evaluation'!$A$46:$F$120,2,0),""))&amp;""</f>
        <v>Do you have a documented and implemented process for reporting and tracking accessibility issues?*</v>
      </c>
      <c r="D30" s="241" t="str">
        <f>IFERROR(VLOOKUP($B30,'Institution Evaluation'!$A$55:$F$345,3,0),IFERROR(VLOOKUP($B30,'Privacy Analyst Evaluation'!$A$46:$F$120,3,0),""))&amp;""</f>
        <v>Yes</v>
      </c>
      <c r="E30" s="241" t="str">
        <f>IFERROR(VLOOKUP($B30,'Institution Evaluation'!$A$55:$F$345,4,0),IFERROR(VLOOKUP($B30,'Privacy Analyst Evaluation'!$A$46:$F$120,4,0),""))&amp;""</f>
        <v>A documented support and ticket process is used to report, track, and address accessibility issues.</v>
      </c>
      <c r="F30" s="241" t="str">
        <f>IFERROR(VLOOKUP($B30,'Institution Evaluation'!$A$55:$F$345,6,0),IFERROR(VLOOKUP($B30,'Privacy Analyst Evaluation'!$A$46:$F$120,6,0),""))&amp;""</f>
        <v/>
      </c>
      <c r="G30" s="242"/>
      <c r="H30" s="241" t="str">
        <f>IFERROR(IF($H29+1&gt;'(backend scoring)'!$Q$335,"",$H29+1),"")</f>
        <v/>
      </c>
      <c r="I30" s="241" t="str">
        <f>_xlfn.XLOOKUP($H30,'(backend scoring)'!$S$2:$S$333,'(backend scoring)'!$A$2:$A$333,"")</f>
        <v/>
      </c>
      <c r="J30" s="241" t="str">
        <f>IFERROR(VLOOKUP($I30,'Institution Evaluation'!$A$55:$F$345,2,0),IFERROR(VLOOKUP($I30,'Privacy Analyst Evaluation'!$A$46:$F$120,2,0),""))</f>
        <v/>
      </c>
      <c r="K30" s="241" t="str">
        <f>IFERROR(VLOOKUP($I30,'Institution Evaluation'!$A$55:$F$345,3,0),IFERROR(VLOOKUP($I30,'Privacy Analyst Evaluation'!$A$46:$F$120,3,0),""))&amp;""</f>
        <v/>
      </c>
      <c r="L30" s="241" t="str">
        <f>IFERROR(VLOOKUP($I30,'Institution Evaluation'!$A$55:$F$345,4,0),IFERROR(VLOOKUP($I30,'Privacy Analyst Evaluation'!$A$46:$F$120,4,0),""))&amp;""</f>
        <v/>
      </c>
      <c r="M30" s="241" t="str">
        <f>IFERROR(VLOOKUP($I30,'Institution Evaluation'!$A$55:$F$345,6,0),IFERROR(VLOOKUP($I30,'Privacy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customHeight="1" x14ac:dyDescent="0.2">
      <c r="A31" s="241">
        <f>IFERROR(IF($A30+1&gt;'(backend scoring)'!$T$335,"",$A30+1),"")</f>
        <v>7</v>
      </c>
      <c r="B31" s="241" t="str">
        <f>_xlfn.XLOOKUP($A31,'(backend scoring)'!$V$2:$V$333,'(backend scoring)'!$A$2:$A$333,"")</f>
        <v>THRD-02</v>
      </c>
      <c r="C31" s="241" t="str">
        <f>IFERROR(VLOOKUP($B31,'Institution Evaluation'!$A$55:$F$345,2,0),IFERROR(VLOOKUP($B31,'Privacy Analyst Evaluation'!$A$46:$F$120,2,0),""))&amp;""</f>
        <v>Do you have contractual language in place with third parties governing access to institutional data?*</v>
      </c>
      <c r="D31" s="241" t="str">
        <f>IFERROR(VLOOKUP($B31,'Institution Evaluation'!$A$55:$F$345,3,0),IFERROR(VLOOKUP($B31,'Privacy Analyst Evaluation'!$A$46:$F$120,3,0),""))&amp;""</f>
        <v>Yes</v>
      </c>
      <c r="E31" s="241" t="str">
        <f>IFERROR(VLOOKUP($B31,'Institution Evaluation'!$A$55:$F$345,4,0),IFERROR(VLOOKUP($B31,'Privacy Analyst Evaluation'!$A$46:$F$120,4,0),""))&amp;""</f>
        <v>Standard data processing agreements (Art. 28 GDPR) are in place with our processors (e.g., hosting and payment providers) governing access to and use of any personal data.</v>
      </c>
      <c r="F31" s="241" t="str">
        <f>IFERROR(VLOOKUP($B31,'Institution Evaluation'!$A$55:$F$345,6,0),IFERROR(VLOOKUP($B31,'Privacy Analyst Evaluation'!$A$46:$F$120,6,0),""))&amp;""</f>
        <v/>
      </c>
      <c r="G31" s="242"/>
      <c r="H31" s="241" t="str">
        <f>IFERROR(IF($H30+1&gt;'(backend scoring)'!$Q$335,"",$H30+1),"")</f>
        <v/>
      </c>
      <c r="I31" s="241" t="str">
        <f>_xlfn.XLOOKUP($H31,'(backend scoring)'!$S$2:$S$333,'(backend scoring)'!$A$2:$A$333,"")</f>
        <v/>
      </c>
      <c r="J31" s="241" t="str">
        <f>IFERROR(VLOOKUP($I31,'Institution Evaluation'!$A$55:$F$345,2,0),IFERROR(VLOOKUP($I31,'Privacy Analyst Evaluation'!$A$46:$F$120,2,0),""))</f>
        <v/>
      </c>
      <c r="K31" s="241" t="str">
        <f>IFERROR(VLOOKUP($I31,'Institution Evaluation'!$A$55:$F$345,3,0),IFERROR(VLOOKUP($I31,'Privacy Analyst Evaluation'!$A$46:$F$120,3,0),""))&amp;""</f>
        <v/>
      </c>
      <c r="L31" s="241" t="str">
        <f>IFERROR(VLOOKUP($I31,'Institution Evaluation'!$A$55:$F$345,4,0),IFERROR(VLOOKUP($I31,'Privacy Analyst Evaluation'!$A$46:$F$120,4,0),""))&amp;""</f>
        <v/>
      </c>
      <c r="M31" s="241" t="str">
        <f>IFERROR(VLOOKUP($I31,'Institution Evaluation'!$A$55:$F$345,6,0),IFERROR(VLOOKUP($I31,'Privacy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90" customHeight="1" x14ac:dyDescent="0.2">
      <c r="A32" s="241">
        <f>IFERROR(IF($A31+1&gt;'(backend scoring)'!$T$335,"",$A31+1),"")</f>
        <v>8</v>
      </c>
      <c r="B32" s="241" t="str">
        <f>_xlfn.XLOOKUP($A32,'(backend scoring)'!$V$2:$V$333,'(backend scoring)'!$A$2:$A$333,"")</f>
        <v>THRD-01</v>
      </c>
      <c r="C32" s="241" t="str">
        <f>IFERROR(VLOOKUP($B32,'Institution Evaluation'!$A$55:$F$345,2,0),IFERROR(VLOOKUP($B32,'Privacy Analyst Evaluation'!$A$46:$F$120,2,0),""))&amp;""</f>
        <v>Do you perform security assessments of third-party companies with which you share data (e.g., hosting providers, cloud services, PaaS, IaaS, SaaS)?*</v>
      </c>
      <c r="D32" s="241" t="str">
        <f>IFERROR(VLOOKUP($B32,'Institution Evaluation'!$A$55:$F$345,3,0),IFERROR(VLOOKUP($B32,'Privacy Analyst Evaluation'!$A$46:$F$120,3,0),""))&amp;""</f>
        <v>No</v>
      </c>
      <c r="E32" s="241" t="str">
        <f>IFERROR(VLOOKUP($B32,'Institution Evaluation'!$A$55:$F$345,4,0),IFERROR(VLOOKUP($B32,'Privacy Analyst Evaluation'!$A$46:$F$120,4,0),""))&amp;""</f>
        <v>SmartPLS GmbH selects established providers (Nalpeiron for licensing, Domainfactory and Strato for hosting, Adyen for payments) but does not perform formal, documented security assessments of these third parties given the size of the company.</v>
      </c>
      <c r="F32" s="241" t="str">
        <f>IFERROR(VLOOKUP($B32,'Institution Evaluation'!$A$55:$F$345,6,0),IFERROR(VLOOKUP($B32,'Privacy Analyst Evaluation'!$A$46:$F$120,6,0),""))&amp;""</f>
        <v/>
      </c>
      <c r="G32" s="242"/>
      <c r="H32" s="241" t="str">
        <f>IFERROR(IF($H31+1&gt;'(backend scoring)'!$Q$335,"",$H31+1),"")</f>
        <v/>
      </c>
      <c r="I32" s="241" t="str">
        <f>_xlfn.XLOOKUP($H32,'(backend scoring)'!$S$2:$S$333,'(backend scoring)'!$A$2:$A$333,"")</f>
        <v/>
      </c>
      <c r="J32" s="241" t="str">
        <f>IFERROR(VLOOKUP($I32,'Institution Evaluation'!$A$55:$F$345,2,0),IFERROR(VLOOKUP($I32,'Privacy Analyst Evaluation'!$A$46:$F$120,2,0),""))</f>
        <v/>
      </c>
      <c r="K32" s="241" t="str">
        <f>IFERROR(VLOOKUP($I32,'Institution Evaluation'!$A$55:$F$345,3,0),IFERROR(VLOOKUP($I32,'Privacy Analyst Evaluation'!$A$46:$F$120,3,0),""))&amp;""</f>
        <v/>
      </c>
      <c r="L32" s="241" t="str">
        <f>IFERROR(VLOOKUP($I32,'Institution Evaluation'!$A$55:$F$345,4,0),IFERROR(VLOOKUP($I32,'Privacy Analyst Evaluation'!$A$46:$F$120,4,0),""))&amp;""</f>
        <v/>
      </c>
      <c r="M32" s="241" t="str">
        <f>IFERROR(VLOOKUP($I32,'Institution Evaluation'!$A$55:$F$345,6,0),IFERROR(VLOOKUP($I32,'Privacy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60" customHeight="1" x14ac:dyDescent="0.2">
      <c r="A33" s="241">
        <f>IFERROR(IF($A32+1&gt;'(backend scoring)'!$T$335,"",$A32+1),"")</f>
        <v>9</v>
      </c>
      <c r="B33" s="241" t="str">
        <f>_xlfn.XLOOKUP($A33,'(backend scoring)'!$V$2:$V$333,'(backend scoring)'!$A$2:$A$333,"")</f>
        <v>THRD-03</v>
      </c>
      <c r="C33" s="241" t="str">
        <f>IFERROR(VLOOKUP($B33,'Institution Evaluation'!$A$55:$F$345,2,0),IFERROR(VLOOKUP($B33,'Privacy Analyst Evaluation'!$A$46:$F$120,2,0),""))&amp;""</f>
        <v>Do the contracts in place with these third parties address liability in the event of a data breach?*</v>
      </c>
      <c r="D33" s="241" t="str">
        <f>IFERROR(VLOOKUP($B33,'Institution Evaluation'!$A$55:$F$345,3,0),IFERROR(VLOOKUP($B33,'Privacy Analyst Evaluation'!$A$46:$F$120,3,0),""))&amp;""</f>
        <v>Yes</v>
      </c>
      <c r="E33" s="241" t="str">
        <f>IFERROR(VLOOKUP($B33,'Institution Evaluation'!$A$55:$F$345,4,0),IFERROR(VLOOKUP($B33,'Privacy Analyst Evaluation'!$A$46:$F$120,4,0),""))&amp;""</f>
        <v>Contracts with our third-party processors follow their standard terms, which address liability and breach notification; SmartPLS GmbH has not separately negotiated bespoke breach-liability clauses.</v>
      </c>
      <c r="F33" s="241" t="str">
        <f>IFERROR(VLOOKUP($B33,'Institution Evaluation'!$A$55:$F$345,6,0),IFERROR(VLOOKUP($B33,'Privacy Analyst Evaluation'!$A$46:$F$120,6,0),""))&amp;""</f>
        <v/>
      </c>
      <c r="G33" s="242"/>
      <c r="H33" s="241" t="str">
        <f>IFERROR(IF($H32+1&gt;'(backend scoring)'!$Q$335,"",$H32+1),"")</f>
        <v/>
      </c>
      <c r="I33" s="241" t="str">
        <f>_xlfn.XLOOKUP($H33,'(backend scoring)'!$S$2:$S$333,'(backend scoring)'!$A$2:$A$333,"")</f>
        <v/>
      </c>
      <c r="J33" s="241" t="str">
        <f>IFERROR(VLOOKUP($I33,'Institution Evaluation'!$A$55:$F$345,2,0),IFERROR(VLOOKUP($I33,'Privacy Analyst Evaluation'!$A$46:$F$120,2,0),""))</f>
        <v/>
      </c>
      <c r="K33" s="241" t="str">
        <f>IFERROR(VLOOKUP($I33,'Institution Evaluation'!$A$55:$F$345,3,0),IFERROR(VLOOKUP($I33,'Privacy Analyst Evaluation'!$A$46:$F$120,3,0),""))&amp;""</f>
        <v/>
      </c>
      <c r="L33" s="241" t="str">
        <f>IFERROR(VLOOKUP($I33,'Institution Evaluation'!$A$55:$F$345,4,0),IFERROR(VLOOKUP($I33,'Privacy Analyst Evaluation'!$A$46:$F$120,4,0),""))&amp;""</f>
        <v/>
      </c>
      <c r="M33" s="241" t="str">
        <f>IFERROR(VLOOKUP($I33,'Institution Evaluation'!$A$55:$F$345,6,0),IFERROR(VLOOKUP($I33,'Privacy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45" customHeight="1" x14ac:dyDescent="0.2">
      <c r="A34" s="241">
        <f>IFERROR(IF($A33+1&gt;'(backend scoring)'!$T$335,"",$A33+1),"")</f>
        <v>10</v>
      </c>
      <c r="B34" s="241" t="str">
        <f>_xlfn.XLOOKUP($A34,'(backend scoring)'!$V$2:$V$333,'(backend scoring)'!$A$2:$A$333,"")</f>
        <v>THRD-04</v>
      </c>
      <c r="C34" s="241" t="str">
        <f>IFERROR(VLOOKUP($B34,'Institution Evaluation'!$A$55:$F$345,2,0),IFERROR(VLOOKUP($B34,'Privacy Analyst Evaluation'!$A$46:$F$120,2,0),""))&amp;""</f>
        <v>Do you have an implemented third-party management strategy?*</v>
      </c>
      <c r="D34" s="241" t="str">
        <f>IFERROR(VLOOKUP($B34,'Institution Evaluation'!$A$55:$F$345,3,0),IFERROR(VLOOKUP($B34,'Privacy Analyst Evaluation'!$A$46:$F$120,3,0),""))&amp;""</f>
        <v>No</v>
      </c>
      <c r="E34" s="241" t="str">
        <f>IFERROR(VLOOKUP($B34,'Institution Evaluation'!$A$55:$F$345,4,0),IFERROR(VLOOKUP($B34,'Privacy Analyst Evaluation'!$A$46:$F$120,4,0),""))&amp;""</f>
        <v/>
      </c>
      <c r="F34" s="241" t="str">
        <f>IFERROR(VLOOKUP($B34,'Institution Evaluation'!$A$55:$F$345,6,0),IFERROR(VLOOKUP($B34,'Privacy Analyst Evaluation'!$A$46:$F$120,6,0),""))&amp;""</f>
        <v/>
      </c>
      <c r="G34" s="242"/>
      <c r="H34" s="241" t="str">
        <f>IFERROR(IF($H33+1&gt;'(backend scoring)'!$Q$335,"",$H33+1),"")</f>
        <v/>
      </c>
      <c r="I34" s="241" t="str">
        <f>_xlfn.XLOOKUP($H34,'(backend scoring)'!$S$2:$S$333,'(backend scoring)'!$A$2:$A$333,"")</f>
        <v/>
      </c>
      <c r="J34" s="241" t="str">
        <f>IFERROR(VLOOKUP($I34,'Institution Evaluation'!$A$55:$F$345,2,0),IFERROR(VLOOKUP($I34,'Privacy Analyst Evaluation'!$A$46:$F$120,2,0),""))</f>
        <v/>
      </c>
      <c r="K34" s="241" t="str">
        <f>IFERROR(VLOOKUP($I34,'Institution Evaluation'!$A$55:$F$345,3,0),IFERROR(VLOOKUP($I34,'Privacy Analyst Evaluation'!$A$46:$F$120,3,0),""))&amp;""</f>
        <v/>
      </c>
      <c r="L34" s="241" t="str">
        <f>IFERROR(VLOOKUP($I34,'Institution Evaluation'!$A$55:$F$345,4,0),IFERROR(VLOOKUP($I34,'Privacy Analyst Evaluation'!$A$46:$F$120,4,0),""))&amp;""</f>
        <v/>
      </c>
      <c r="M34" s="241" t="str">
        <f>IFERROR(VLOOKUP($I34,'Institution Evaluation'!$A$55:$F$345,6,0),IFERROR(VLOOKUP($I34,'Privacy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45" customHeight="1" x14ac:dyDescent="0.2">
      <c r="A35" s="241">
        <f>IFERROR(IF($A34+1&gt;'(backend scoring)'!$T$335,"",$A34+1),"")</f>
        <v>11</v>
      </c>
      <c r="B35" s="241" t="str">
        <f>_xlfn.XLOOKUP($A35,'(backend scoring)'!$V$2:$V$333,'(backend scoring)'!$A$2:$A$333,"")</f>
        <v>CONS-01</v>
      </c>
      <c r="C35" s="241" t="str">
        <f>IFERROR(VLOOKUP($B35,'Institution Evaluation'!$A$55:$F$345,2,0),IFERROR(VLOOKUP($B35,'Privacy Analyst Evaluation'!$A$46:$F$120,2,0),""))&amp;""</f>
        <v>Will the consultant require access to the institution's network resources?*</v>
      </c>
      <c r="D35" s="241" t="str">
        <f>IFERROR(VLOOKUP($B35,'Institution Evaluation'!$A$55:$F$345,3,0),IFERROR(VLOOKUP($B35,'Privacy Analyst Evaluation'!$A$46:$F$120,3,0),""))&amp;""</f>
        <v>N/A</v>
      </c>
      <c r="E35" s="241" t="str">
        <f>IFERROR(VLOOKUP($B35,'Institution Evaluation'!$A$55:$F$345,4,0),IFERROR(VLOOKUP($B35,'Privacy Analyst Evaluation'!$A$46:$F$120,4,0),""))&amp;""</f>
        <v>This question does not apply.</v>
      </c>
      <c r="F35" s="241" t="str">
        <f>IFERROR(VLOOKUP($B35,'Institution Evaluation'!$A$55:$F$345,6,0),IFERROR(VLOOKUP($B35,'Privacy Analyst Evaluation'!$A$46:$F$120,6,0),""))&amp;""</f>
        <v/>
      </c>
      <c r="G35" s="242"/>
      <c r="H35" s="241" t="str">
        <f>IFERROR(IF($H34+1&gt;'(backend scoring)'!$Q$335,"",$H34+1),"")</f>
        <v/>
      </c>
      <c r="I35" s="241" t="str">
        <f>_xlfn.XLOOKUP($H35,'(backend scoring)'!$S$2:$S$333,'(backend scoring)'!$A$2:$A$333,"")</f>
        <v/>
      </c>
      <c r="J35" s="241" t="str">
        <f>IFERROR(VLOOKUP($I35,'Institution Evaluation'!$A$55:$F$345,2,0),IFERROR(VLOOKUP($I35,'Privacy Analyst Evaluation'!$A$46:$F$120,2,0),""))</f>
        <v/>
      </c>
      <c r="K35" s="241" t="str">
        <f>IFERROR(VLOOKUP($I35,'Institution Evaluation'!$A$55:$F$345,3,0),IFERROR(VLOOKUP($I35,'Privacy Analyst Evaluation'!$A$46:$F$120,3,0),""))&amp;""</f>
        <v/>
      </c>
      <c r="L35" s="241" t="str">
        <f>IFERROR(VLOOKUP($I35,'Institution Evaluation'!$A$55:$F$345,4,0),IFERROR(VLOOKUP($I35,'Privacy Analyst Evaluation'!$A$46:$F$120,4,0),""))&amp;""</f>
        <v/>
      </c>
      <c r="M35" s="241" t="str">
        <f>IFERROR(VLOOKUP($I35,'Institution Evaluation'!$A$55:$F$345,6,0),IFERROR(VLOOKUP($I35,'Privacy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customHeight="1" x14ac:dyDescent="0.2">
      <c r="A36" s="241">
        <f>IFERROR(IF($A35+1&gt;'(backend scoring)'!$T$335,"",$A35+1),"")</f>
        <v>12</v>
      </c>
      <c r="B36" s="241" t="str">
        <f>_xlfn.XLOOKUP($A36,'(backend scoring)'!$V$2:$V$333,'(backend scoring)'!$A$2:$A$333,"")</f>
        <v>CONS-02</v>
      </c>
      <c r="C36" s="241" t="str">
        <f>IFERROR(VLOOKUP($B36,'Institution Evaluation'!$A$55:$F$345,2,0),IFERROR(VLOOKUP($B36,'Privacy Analyst Evaluation'!$A$46:$F$120,2,0),""))&amp;""</f>
        <v>Has the consultant received training on (sensitive, HIPAA, PCI, etc.) data handling?*</v>
      </c>
      <c r="D36" s="241" t="str">
        <f>IFERROR(VLOOKUP($B36,'Institution Evaluation'!$A$55:$F$345,3,0),IFERROR(VLOOKUP($B36,'Privacy Analyst Evaluation'!$A$46:$F$120,3,0),""))&amp;""</f>
        <v>N/A</v>
      </c>
      <c r="E36" s="241" t="str">
        <f>IFERROR(VLOOKUP($B36,'Institution Evaluation'!$A$55:$F$345,4,0),IFERROR(VLOOKUP($B36,'Privacy Analyst Evaluation'!$A$46:$F$120,4,0),""))&amp;""</f>
        <v>This question does not apply.</v>
      </c>
      <c r="F36" s="241" t="str">
        <f>IFERROR(VLOOKUP($B36,'Institution Evaluation'!$A$55:$F$345,6,0),IFERROR(VLOOKUP($B36,'Privacy Analyst Evaluation'!$A$46:$F$120,6,0),""))&amp;""</f>
        <v/>
      </c>
      <c r="G36" s="242"/>
      <c r="H36" s="241" t="str">
        <f>IFERROR(IF($H35+1&gt;'(backend scoring)'!$Q$335,"",$H35+1),"")</f>
        <v/>
      </c>
      <c r="I36" s="241" t="str">
        <f>_xlfn.XLOOKUP($H36,'(backend scoring)'!$S$2:$S$333,'(backend scoring)'!$A$2:$A$333,"")</f>
        <v/>
      </c>
      <c r="J36" s="241" t="str">
        <f>IFERROR(VLOOKUP($I36,'Institution Evaluation'!$A$55:$F$345,2,0),IFERROR(VLOOKUP($I36,'Privacy Analyst Evaluation'!$A$46:$F$120,2,0),""))</f>
        <v/>
      </c>
      <c r="K36" s="241" t="str">
        <f>IFERROR(VLOOKUP($I36,'Institution Evaluation'!$A$55:$F$345,3,0),IFERROR(VLOOKUP($I36,'Privacy Analyst Evaluation'!$A$46:$F$120,3,0),""))&amp;""</f>
        <v/>
      </c>
      <c r="L36" s="241" t="str">
        <f>IFERROR(VLOOKUP($I36,'Institution Evaluation'!$A$55:$F$345,4,0),IFERROR(VLOOKUP($I36,'Privacy Analyst Evaluation'!$A$46:$F$120,4,0),""))&amp;""</f>
        <v/>
      </c>
      <c r="M36" s="241" t="str">
        <f>IFERROR(VLOOKUP($I36,'Institution Evaluation'!$A$55:$F$345,6,0),IFERROR(VLOOKUP($I36,'Privacy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customHeight="1" x14ac:dyDescent="0.2">
      <c r="A37" s="241">
        <f>IFERROR(IF($A36+1&gt;'(backend scoring)'!$T$335,"",$A36+1),"")</f>
        <v>13</v>
      </c>
      <c r="B37" s="241" t="str">
        <f>_xlfn.XLOOKUP($A37,'(backend scoring)'!$V$2:$V$333,'(backend scoring)'!$A$2:$A$333,"")</f>
        <v>CONS-03</v>
      </c>
      <c r="C37" s="241" t="str">
        <f>IFERROR(VLOOKUP($B37,'Institution Evaluation'!$A$55:$F$345,2,0),IFERROR(VLOOKUP($B37,'Privacy Analyst Evaluation'!$A$46:$F$120,2,0),""))&amp;""</f>
        <v>Is the data encrypted (at rest) while in the consultant's possession?*</v>
      </c>
      <c r="D37" s="241" t="str">
        <f>IFERROR(VLOOKUP($B37,'Institution Evaluation'!$A$55:$F$345,3,0),IFERROR(VLOOKUP($B37,'Privacy Analyst Evaluation'!$A$46:$F$120,3,0),""))&amp;""</f>
        <v>N/A</v>
      </c>
      <c r="E37" s="241" t="str">
        <f>IFERROR(VLOOKUP($B37,'Institution Evaluation'!$A$55:$F$345,4,0),IFERROR(VLOOKUP($B37,'Privacy Analyst Evaluation'!$A$46:$F$120,4,0),""))&amp;""</f>
        <v>This question does not apply.</v>
      </c>
      <c r="F37" s="241" t="str">
        <f>IFERROR(VLOOKUP($B37,'Institution Evaluation'!$A$55:$F$345,6,0),IFERROR(VLOOKUP($B37,'Privacy Analyst Evaluation'!$A$46:$F$120,6,0),""))&amp;""</f>
        <v/>
      </c>
      <c r="G37" s="242"/>
      <c r="H37" s="241" t="str">
        <f>IFERROR(IF($H36+1&gt;'(backend scoring)'!$Q$335,"",$H36+1),"")</f>
        <v/>
      </c>
      <c r="I37" s="241" t="str">
        <f>_xlfn.XLOOKUP($H37,'(backend scoring)'!$S$2:$S$333,'(backend scoring)'!$A$2:$A$333,"")</f>
        <v/>
      </c>
      <c r="J37" s="241" t="str">
        <f>IFERROR(VLOOKUP($I37,'Institution Evaluation'!$A$55:$F$345,2,0),IFERROR(VLOOKUP($I37,'Privacy Analyst Evaluation'!$A$46:$F$120,2,0),""))</f>
        <v/>
      </c>
      <c r="K37" s="241" t="str">
        <f>IFERROR(VLOOKUP($I37,'Institution Evaluation'!$A$55:$F$345,3,0),IFERROR(VLOOKUP($I37,'Privacy Analyst Evaluation'!$A$46:$F$120,3,0),""))&amp;""</f>
        <v/>
      </c>
      <c r="L37" s="241" t="str">
        <f>IFERROR(VLOOKUP($I37,'Institution Evaluation'!$A$55:$F$345,4,0),IFERROR(VLOOKUP($I37,'Privacy Analyst Evaluation'!$A$46:$F$120,4,0),""))&amp;""</f>
        <v/>
      </c>
      <c r="M37" s="241" t="str">
        <f>IFERROR(VLOOKUP($I37,'Institution Evaluation'!$A$55:$F$345,6,0),IFERROR(VLOOKUP($I37,'Privacy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2">
      <c r="A38" s="241">
        <f>IFERROR(IF($A37+1&gt;'(backend scoring)'!$T$335,"",$A37+1),"")</f>
        <v>14</v>
      </c>
      <c r="B38" s="241" t="str">
        <f>_xlfn.XLOOKUP($A38,'(backend scoring)'!$V$2:$V$333,'(backend scoring)'!$A$2:$A$333,"")</f>
        <v>CONS-04</v>
      </c>
      <c r="C38" s="241" t="str">
        <f>IFERROR(VLOOKUP($B38,'Institution Evaluation'!$A$55:$F$345,2,0),IFERROR(VLOOKUP($B38,'Privacy Analyst Evaluation'!$A$46:$F$120,2,0),""))&amp;""</f>
        <v>Can access be restricted based on source IP address?*</v>
      </c>
      <c r="D38" s="241" t="str">
        <f>IFERROR(VLOOKUP($B38,'Institution Evaluation'!$A$55:$F$345,3,0),IFERROR(VLOOKUP($B38,'Privacy Analyst Evaluation'!$A$46:$F$120,3,0),""))&amp;""</f>
        <v>N/A</v>
      </c>
      <c r="E38" s="241" t="str">
        <f>IFERROR(VLOOKUP($B38,'Institution Evaluation'!$A$55:$F$345,4,0),IFERROR(VLOOKUP($B38,'Privacy Analyst Evaluation'!$A$46:$F$120,4,0),""))&amp;""</f>
        <v>This question does not apply.</v>
      </c>
      <c r="F38" s="241" t="str">
        <f>IFERROR(VLOOKUP($B38,'Institution Evaluation'!$A$55:$F$345,6,0),IFERROR(VLOOKUP($B38,'Privacy Analyst Evaluation'!$A$46:$F$120,6,0),""))&amp;""</f>
        <v/>
      </c>
      <c r="G38" s="242"/>
      <c r="H38" s="241" t="str">
        <f>IFERROR(IF($H37+1&gt;'(backend scoring)'!$Q$335,"",$H37+1),"")</f>
        <v/>
      </c>
      <c r="I38" s="241" t="str">
        <f>_xlfn.XLOOKUP($H38,'(backend scoring)'!$S$2:$S$333,'(backend scoring)'!$A$2:$A$333,"")</f>
        <v/>
      </c>
      <c r="J38" s="241" t="str">
        <f>IFERROR(VLOOKUP($I38,'Institution Evaluation'!$A$55:$F$345,2,0),IFERROR(VLOOKUP($I38,'Privacy Analyst Evaluation'!$A$46:$F$120,2,0),""))</f>
        <v/>
      </c>
      <c r="K38" s="241" t="str">
        <f>IFERROR(VLOOKUP($I38,'Institution Evaluation'!$A$55:$F$345,3,0),IFERROR(VLOOKUP($I38,'Privacy Analyst Evaluation'!$A$46:$F$120,3,0),""))&amp;""</f>
        <v/>
      </c>
      <c r="L38" s="241" t="str">
        <f>IFERROR(VLOOKUP($I38,'Institution Evaluation'!$A$55:$F$345,4,0),IFERROR(VLOOKUP($I38,'Privacy Analyst Evaluation'!$A$46:$F$120,4,0),""))&amp;""</f>
        <v/>
      </c>
      <c r="M38" s="241" t="str">
        <f>IFERROR(VLOOKUP($I38,'Institution Evaluation'!$A$55:$F$345,6,0),IFERROR(VLOOKUP($I38,'Privacy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105" customHeight="1" x14ac:dyDescent="0.2">
      <c r="A39" s="241">
        <f>IFERROR(IF($A38+1&gt;'(backend scoring)'!$T$335,"",$A38+1),"")</f>
        <v>15</v>
      </c>
      <c r="B39" s="241" t="str">
        <f>_xlfn.XLOOKUP($A39,'(backend scoring)'!$V$2:$V$333,'(backend scoring)'!$A$2:$A$333,"")</f>
        <v>APPL-01</v>
      </c>
      <c r="C39" s="241" t="str">
        <f>IFERROR(VLOOKUP($B39,'Institution Evaluation'!$A$55:$F$345,2,0),IFERROR(VLOOKUP($B39,'Privacy Analyst Evaluation'!$A$46:$F$120,2,0),""))&amp;""</f>
        <v>Are access controls for institutional accounts based on structured rules, such as role-based access control (RBAC), attribute-based access control (ABAC), or policy-based access control (PBAC)?*</v>
      </c>
      <c r="D39" s="241" t="str">
        <f>IFERROR(VLOOKUP($B39,'Institution Evaluation'!$A$55:$F$345,3,0),IFERROR(VLOOKUP($B39,'Privacy Analyst Evaluation'!$A$46:$F$120,3,0),""))&amp;""</f>
        <v>N/A</v>
      </c>
      <c r="E39" s="241" t="str">
        <f>IFERROR(VLOOKUP($B39,'Institution Evaluation'!$A$55:$F$345,4,0),IFERROR(VLOOKUP($B39,'Privacy Analyst Evaluation'!$A$46:$F$120,4,0),""))&amp;""</f>
        <v>This question does not apply.</v>
      </c>
      <c r="F39" s="241" t="str">
        <f>IFERROR(VLOOKUP($B39,'Institution Evaluation'!$A$55:$F$345,6,0),IFERROR(VLOOKUP($B39,'Privacy Analyst Evaluation'!$A$46:$F$120,6,0),""))&amp;""</f>
        <v/>
      </c>
      <c r="G39" s="242"/>
      <c r="H39" s="241" t="str">
        <f>IFERROR(IF($H38+1&gt;'(backend scoring)'!$Q$335,"",$H38+1),"")</f>
        <v/>
      </c>
      <c r="I39" s="241" t="str">
        <f>_xlfn.XLOOKUP($H39,'(backend scoring)'!$S$2:$S$333,'(backend scoring)'!$A$2:$A$333,"")</f>
        <v/>
      </c>
      <c r="J39" s="241" t="str">
        <f>IFERROR(VLOOKUP($I39,'Institution Evaluation'!$A$55:$F$345,2,0),IFERROR(VLOOKUP($I39,'Privacy Analyst Evaluation'!$A$46:$F$120,2,0),""))</f>
        <v/>
      </c>
      <c r="K39" s="241" t="str">
        <f>IFERROR(VLOOKUP($I39,'Institution Evaluation'!$A$55:$F$345,3,0),IFERROR(VLOOKUP($I39,'Privacy Analyst Evaluation'!$A$46:$F$120,3,0),""))&amp;""</f>
        <v/>
      </c>
      <c r="L39" s="241" t="str">
        <f>IFERROR(VLOOKUP($I39,'Institution Evaluation'!$A$55:$F$345,4,0),IFERROR(VLOOKUP($I39,'Privacy Analyst Evaluation'!$A$46:$F$120,4,0),""))&amp;""</f>
        <v/>
      </c>
      <c r="M39" s="241" t="str">
        <f>IFERROR(VLOOKUP($I39,'Institution Evaluation'!$A$55:$F$345,6,0),IFERROR(VLOOKUP($I39,'Privacy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30" customHeight="1" x14ac:dyDescent="0.2">
      <c r="A40" s="241">
        <f>IFERROR(IF($A39+1&gt;'(backend scoring)'!$T$335,"",$A39+1),"")</f>
        <v>16</v>
      </c>
      <c r="B40" s="241" t="str">
        <f>_xlfn.XLOOKUP($A40,'(backend scoring)'!$V$2:$V$333,'(backend scoring)'!$A$2:$A$333,"")</f>
        <v>APPL-02</v>
      </c>
      <c r="C40" s="241" t="str">
        <f>IFERROR(VLOOKUP($B40,'Institution Evaluation'!$A$55:$F$345,2,0),IFERROR(VLOOKUP($B40,'Privacy Analyst Evaluation'!$A$46:$F$120,2,0),""))&amp;""</f>
        <v>Are you using a web application firewall (WAF)?*</v>
      </c>
      <c r="D40" s="241" t="str">
        <f>IFERROR(VLOOKUP($B40,'Institution Evaluation'!$A$55:$F$345,3,0),IFERROR(VLOOKUP($B40,'Privacy Analyst Evaluation'!$A$46:$F$120,3,0),""))&amp;""</f>
        <v>N/A</v>
      </c>
      <c r="E40" s="241" t="str">
        <f>IFERROR(VLOOKUP($B40,'Institution Evaluation'!$A$55:$F$345,4,0),IFERROR(VLOOKUP($B40,'Privacy Analyst Evaluation'!$A$46:$F$120,4,0),""))&amp;""</f>
        <v>This question does not apply.</v>
      </c>
      <c r="F40" s="241" t="str">
        <f>IFERROR(VLOOKUP($B40,'Institution Evaluation'!$A$55:$F$345,6,0),IFERROR(VLOOKUP($B40,'Privacy Analyst Evaluation'!$A$46:$F$120,6,0),""))&amp;""</f>
        <v/>
      </c>
      <c r="G40" s="242"/>
      <c r="H40" s="241" t="str">
        <f>IFERROR(IF($H39+1&gt;'(backend scoring)'!$Q$335,"",$H39+1),"")</f>
        <v/>
      </c>
      <c r="I40" s="241" t="str">
        <f>_xlfn.XLOOKUP($H40,'(backend scoring)'!$S$2:$S$333,'(backend scoring)'!$A$2:$A$333,"")</f>
        <v/>
      </c>
      <c r="J40" s="241" t="str">
        <f>IFERROR(VLOOKUP($I40,'Institution Evaluation'!$A$55:$F$345,2,0),IFERROR(VLOOKUP($I40,'Privacy Analyst Evaluation'!$A$46:$F$120,2,0),""))</f>
        <v/>
      </c>
      <c r="K40" s="241" t="str">
        <f>IFERROR(VLOOKUP($I40,'Institution Evaluation'!$A$55:$F$345,3,0),IFERROR(VLOOKUP($I40,'Privacy Analyst Evaluation'!$A$46:$F$120,3,0),""))&amp;""</f>
        <v/>
      </c>
      <c r="L40" s="241" t="str">
        <f>IFERROR(VLOOKUP($I40,'Institution Evaluation'!$A$55:$F$345,4,0),IFERROR(VLOOKUP($I40,'Privacy Analyst Evaluation'!$A$46:$F$120,4,0),""))&amp;""</f>
        <v/>
      </c>
      <c r="M40" s="241" t="str">
        <f>IFERROR(VLOOKUP($I40,'Institution Evaluation'!$A$55:$F$345,6,0),IFERROR(VLOOKUP($I40,'Privacy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90" customHeight="1" x14ac:dyDescent="0.2">
      <c r="A41" s="241">
        <f>IFERROR(IF($A40+1&gt;'(backend scoring)'!$T$335,"",$A40+1),"")</f>
        <v>17</v>
      </c>
      <c r="B41" s="241" t="str">
        <f>_xlfn.XLOOKUP($A41,'(backend scoring)'!$V$2:$V$333,'(backend scoring)'!$A$2:$A$333,"")</f>
        <v>APPL-03</v>
      </c>
      <c r="C41" s="241" t="str">
        <f>IFERROR(VLOOKUP($B41,'Institution Evaluation'!$A$55:$F$345,2,0),IFERROR(VLOOKUP($B41,'Privacy Analyst Evaluation'!$A$46:$F$120,2,0),""))&amp;""</f>
        <v>Are only currently supported operating system(s), software, and libraries leveraged by the system(s)/application(s) that will have access to institution's data?*</v>
      </c>
      <c r="D41" s="241" t="str">
        <f>IFERROR(VLOOKUP($B41,'Institution Evaluation'!$A$55:$F$345,3,0),IFERROR(VLOOKUP($B41,'Privacy Analyst Evaluation'!$A$46:$F$120,3,0),""))&amp;""</f>
        <v>N/A</v>
      </c>
      <c r="E41" s="241" t="str">
        <f>IFERROR(VLOOKUP($B41,'Institution Evaluation'!$A$55:$F$345,4,0),IFERROR(VLOOKUP($B41,'Privacy Analyst Evaluation'!$A$46:$F$120,4,0),""))&amp;""</f>
        <v>This question does not apply.</v>
      </c>
      <c r="F41" s="241" t="str">
        <f>IFERROR(VLOOKUP($B41,'Institution Evaluation'!$A$55:$F$345,6,0),IFERROR(VLOOKUP($B41,'Privacy Analyst Evaluation'!$A$46:$F$120,6,0),""))&amp;""</f>
        <v/>
      </c>
      <c r="G41" s="242"/>
      <c r="H41" s="241" t="str">
        <f>IFERROR(IF($H40+1&gt;'(backend scoring)'!$Q$335,"",$H40+1),"")</f>
        <v/>
      </c>
      <c r="I41" s="241" t="str">
        <f>_xlfn.XLOOKUP($H41,'(backend scoring)'!$S$2:$S$333,'(backend scoring)'!$A$2:$A$333,"")</f>
        <v/>
      </c>
      <c r="J41" s="241" t="str">
        <f>IFERROR(VLOOKUP($I41,'Institution Evaluation'!$A$55:$F$345,2,0),IFERROR(VLOOKUP($I41,'Privacy Analyst Evaluation'!$A$46:$F$120,2,0),""))</f>
        <v/>
      </c>
      <c r="K41" s="241" t="str">
        <f>IFERROR(VLOOKUP($I41,'Institution Evaluation'!$A$55:$F$345,3,0),IFERROR(VLOOKUP($I41,'Privacy Analyst Evaluation'!$A$46:$F$120,3,0),""))&amp;""</f>
        <v/>
      </c>
      <c r="L41" s="241" t="str">
        <f>IFERROR(VLOOKUP($I41,'Institution Evaluation'!$A$55:$F$345,4,0),IFERROR(VLOOKUP($I41,'Privacy Analyst Evaluation'!$A$46:$F$120,4,0),""))&amp;""</f>
        <v/>
      </c>
      <c r="M41" s="241" t="str">
        <f>IFERROR(VLOOKUP($I41,'Institution Evaluation'!$A$55:$F$345,6,0),IFERROR(VLOOKUP($I41,'Privacy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30" customHeight="1" x14ac:dyDescent="0.2">
      <c r="A42" s="241">
        <f>IFERROR(IF($A41+1&gt;'(backend scoring)'!$T$335,"",$A41+1),"")</f>
        <v>18</v>
      </c>
      <c r="B42" s="241" t="str">
        <f>_xlfn.XLOOKUP($A42,'(backend scoring)'!$V$2:$V$333,'(backend scoring)'!$A$2:$A$333,"")</f>
        <v>APPL-04</v>
      </c>
      <c r="C42" s="241" t="str">
        <f>IFERROR(VLOOKUP($B42,'Institution Evaluation'!$A$55:$F$345,2,0),IFERROR(VLOOKUP($B42,'Privacy Analyst Evaluation'!$A$46:$F$120,2,0),""))&amp;""</f>
        <v>Does your application require access to location or GPS data?*</v>
      </c>
      <c r="D42" s="241" t="str">
        <f>IFERROR(VLOOKUP($B42,'Institution Evaluation'!$A$55:$F$345,3,0),IFERROR(VLOOKUP($B42,'Privacy Analyst Evaluation'!$A$46:$F$120,3,0),""))&amp;""</f>
        <v>N/A</v>
      </c>
      <c r="E42" s="241" t="str">
        <f>IFERROR(VLOOKUP($B42,'Institution Evaluation'!$A$55:$F$345,4,0),IFERROR(VLOOKUP($B42,'Privacy Analyst Evaluation'!$A$46:$F$120,4,0),""))&amp;""</f>
        <v>This question does not apply.</v>
      </c>
      <c r="F42" s="241" t="str">
        <f>IFERROR(VLOOKUP($B42,'Institution Evaluation'!$A$55:$F$345,6,0),IFERROR(VLOOKUP($B42,'Privacy Analyst Evaluation'!$A$46:$F$120,6,0),""))&amp;""</f>
        <v/>
      </c>
      <c r="G42" s="242"/>
      <c r="H42" s="241" t="str">
        <f>IFERROR(IF($H41+1&gt;'(backend scoring)'!$Q$335,"",$H41+1),"")</f>
        <v/>
      </c>
      <c r="I42" s="241" t="str">
        <f>_xlfn.XLOOKUP($H42,'(backend scoring)'!$S$2:$S$333,'(backend scoring)'!$A$2:$A$333,"")</f>
        <v/>
      </c>
      <c r="J42" s="241" t="str">
        <f>IFERROR(VLOOKUP($I42,'Institution Evaluation'!$A$55:$F$345,2,0),IFERROR(VLOOKUP($I42,'Privacy Analyst Evaluation'!$A$46:$F$120,2,0),""))</f>
        <v/>
      </c>
      <c r="K42" s="241" t="str">
        <f>IFERROR(VLOOKUP($I42,'Institution Evaluation'!$A$55:$F$345,3,0),IFERROR(VLOOKUP($I42,'Privacy Analyst Evaluation'!$A$46:$F$120,3,0),""))&amp;""</f>
        <v/>
      </c>
      <c r="L42" s="241" t="str">
        <f>IFERROR(VLOOKUP($I42,'Institution Evaluation'!$A$55:$F$345,4,0),IFERROR(VLOOKUP($I42,'Privacy Analyst Evaluation'!$A$46:$F$120,4,0),""))&amp;""</f>
        <v/>
      </c>
      <c r="M42" s="241" t="str">
        <f>IFERROR(VLOOKUP($I42,'Institution Evaluation'!$A$55:$F$345,6,0),IFERROR(VLOOKUP($I42,'Privacy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75" customHeight="1" x14ac:dyDescent="0.2">
      <c r="A43" s="241">
        <f>IFERROR(IF($A42+1&gt;'(backend scoring)'!$T$335,"",$A42+1),"")</f>
        <v>19</v>
      </c>
      <c r="B43" s="241" t="str">
        <f>_xlfn.XLOOKUP($A43,'(backend scoring)'!$V$2:$V$333,'(backend scoring)'!$A$2:$A$333,"")</f>
        <v>APPL-05</v>
      </c>
      <c r="C43" s="241" t="str">
        <f>IFERROR(VLOOKUP($B43,'Institution Evaluation'!$A$55:$F$345,2,0),IFERROR(VLOOKUP($B43,'Privacy Analyst Evaluation'!$A$46:$F$120,2,0),""))&amp;""</f>
        <v>Does your application provide separation of duties between security administration, system administration, and standard user functions?*</v>
      </c>
      <c r="D43" s="241" t="str">
        <f>IFERROR(VLOOKUP($B43,'Institution Evaluation'!$A$55:$F$345,3,0),IFERROR(VLOOKUP($B43,'Privacy Analyst Evaluation'!$A$46:$F$120,3,0),""))&amp;""</f>
        <v>N/A</v>
      </c>
      <c r="E43" s="241" t="str">
        <f>IFERROR(VLOOKUP($B43,'Institution Evaluation'!$A$55:$F$345,4,0),IFERROR(VLOOKUP($B43,'Privacy Analyst Evaluation'!$A$46:$F$120,4,0),""))&amp;""</f>
        <v>This question does not apply.</v>
      </c>
      <c r="F43" s="241" t="str">
        <f>IFERROR(VLOOKUP($B43,'Institution Evaluation'!$A$55:$F$345,6,0),IFERROR(VLOOKUP($B43,'Privacy Analyst Evaluation'!$A$46:$F$120,6,0),""))&amp;""</f>
        <v/>
      </c>
      <c r="G43" s="242"/>
      <c r="H43" s="241" t="str">
        <f>IFERROR(IF($H42+1&gt;'(backend scoring)'!$Q$335,"",$H42+1),"")</f>
        <v/>
      </c>
      <c r="I43" s="241" t="str">
        <f>_xlfn.XLOOKUP($H43,'(backend scoring)'!$S$2:$S$333,'(backend scoring)'!$A$2:$A$333,"")</f>
        <v/>
      </c>
      <c r="J43" s="241" t="str">
        <f>IFERROR(VLOOKUP($I43,'Institution Evaluation'!$A$55:$F$345,2,0),IFERROR(VLOOKUP($I43,'Privacy Analyst Evaluation'!$A$46:$F$120,2,0),""))</f>
        <v/>
      </c>
      <c r="K43" s="241" t="str">
        <f>IFERROR(VLOOKUP($I43,'Institution Evaluation'!$A$55:$F$345,3,0),IFERROR(VLOOKUP($I43,'Privacy Analyst Evaluation'!$A$46:$F$120,3,0),""))&amp;""</f>
        <v/>
      </c>
      <c r="L43" s="241" t="str">
        <f>IFERROR(VLOOKUP($I43,'Institution Evaluation'!$A$55:$F$345,4,0),IFERROR(VLOOKUP($I43,'Privacy Analyst Evaluation'!$A$46:$F$120,4,0),""))&amp;""</f>
        <v/>
      </c>
      <c r="M43" s="241" t="str">
        <f>IFERROR(VLOOKUP($I43,'Institution Evaluation'!$A$55:$F$345,6,0),IFERROR(VLOOKUP($I43,'Privacy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60" customHeight="1" x14ac:dyDescent="0.2">
      <c r="A44" s="241">
        <f>IFERROR(IF($A43+1&gt;'(backend scoring)'!$T$335,"",$A43+1),"")</f>
        <v>20</v>
      </c>
      <c r="B44" s="241" t="str">
        <f>_xlfn.XLOOKUP($A44,'(backend scoring)'!$V$2:$V$333,'(backend scoring)'!$A$2:$A$333,"")</f>
        <v>APPL-06</v>
      </c>
      <c r="C44" s="241" t="str">
        <f>IFERROR(VLOOKUP($B44,'Institution Evaluation'!$A$55:$F$345,2,0),IFERROR(VLOOKUP($B44,'Privacy Analyst Evaluation'!$A$46:$F$120,2,0),""))&amp;""</f>
        <v>Do you subject your code to static code analysis and/or static application security testing prior to release?*</v>
      </c>
      <c r="D44" s="241" t="str">
        <f>IFERROR(VLOOKUP($B44,'Institution Evaluation'!$A$55:$F$345,3,0),IFERROR(VLOOKUP($B44,'Privacy Analyst Evaluation'!$A$46:$F$120,3,0),""))&amp;""</f>
        <v>N/A</v>
      </c>
      <c r="E44" s="241" t="str">
        <f>IFERROR(VLOOKUP($B44,'Institution Evaluation'!$A$55:$F$345,4,0),IFERROR(VLOOKUP($B44,'Privacy Analyst Evaluation'!$A$46:$F$120,4,0),""))&amp;""</f>
        <v>This question does not apply.</v>
      </c>
      <c r="F44" s="241" t="str">
        <f>IFERROR(VLOOKUP($B44,'Institution Evaluation'!$A$55:$F$345,6,0),IFERROR(VLOOKUP($B44,'Privacy Analyst Evaluation'!$A$46:$F$120,6,0),""))&amp;""</f>
        <v/>
      </c>
      <c r="G44" s="242"/>
      <c r="H44" s="241" t="str">
        <f>IFERROR(IF($H43+1&gt;'(backend scoring)'!$Q$335,"",$H43+1),"")</f>
        <v/>
      </c>
      <c r="I44" s="241" t="str">
        <f>_xlfn.XLOOKUP($H44,'(backend scoring)'!$S$2:$S$333,'(backend scoring)'!$A$2:$A$333,"")</f>
        <v/>
      </c>
      <c r="J44" s="241" t="str">
        <f>IFERROR(VLOOKUP($I44,'Institution Evaluation'!$A$55:$F$345,2,0),IFERROR(VLOOKUP($I44,'Privacy Analyst Evaluation'!$A$46:$F$120,2,0),""))</f>
        <v/>
      </c>
      <c r="K44" s="241" t="str">
        <f>IFERROR(VLOOKUP($I44,'Institution Evaluation'!$A$55:$F$345,3,0),IFERROR(VLOOKUP($I44,'Privacy Analyst Evaluation'!$A$46:$F$120,3,0),""))&amp;""</f>
        <v/>
      </c>
      <c r="L44" s="241" t="str">
        <f>IFERROR(VLOOKUP($I44,'Institution Evaluation'!$A$55:$F$345,4,0),IFERROR(VLOOKUP($I44,'Privacy Analyst Evaluation'!$A$46:$F$120,4,0),""))&amp;""</f>
        <v/>
      </c>
      <c r="M44" s="241" t="str">
        <f>IFERROR(VLOOKUP($I44,'Institution Evaluation'!$A$55:$F$345,6,0),IFERROR(VLOOKUP($I44,'Privacy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customHeight="1" x14ac:dyDescent="0.2">
      <c r="A45" s="241">
        <f>IFERROR(IF($A44+1&gt;'(backend scoring)'!$T$335,"",$A44+1),"")</f>
        <v>21</v>
      </c>
      <c r="B45" s="241" t="str">
        <f>_xlfn.XLOOKUP($A45,'(backend scoring)'!$V$2:$V$333,'(backend scoring)'!$A$2:$A$333,"")</f>
        <v>APPL-07</v>
      </c>
      <c r="C45" s="241" t="str">
        <f>IFERROR(VLOOKUP($B45,'Institution Evaluation'!$A$55:$F$345,2,0),IFERROR(VLOOKUP($B45,'Privacy Analyst Evaluation'!$A$46:$F$120,2,0),""))&amp;""</f>
        <v>Do you have software testing processes (dynamic or static) that are established and followed?*</v>
      </c>
      <c r="D45" s="241" t="str">
        <f>IFERROR(VLOOKUP($B45,'Institution Evaluation'!$A$55:$F$345,3,0),IFERROR(VLOOKUP($B45,'Privacy Analyst Evaluation'!$A$46:$F$120,3,0),""))&amp;""</f>
        <v>N/A</v>
      </c>
      <c r="E45" s="241" t="str">
        <f>IFERROR(VLOOKUP($B45,'Institution Evaluation'!$A$55:$F$345,4,0),IFERROR(VLOOKUP($B45,'Privacy Analyst Evaluation'!$A$46:$F$120,4,0),""))&amp;""</f>
        <v>This question does not apply.</v>
      </c>
      <c r="F45" s="241" t="str">
        <f>IFERROR(VLOOKUP($B45,'Institution Evaluation'!$A$55:$F$345,6,0),IFERROR(VLOOKUP($B45,'Privacy Analyst Evaluation'!$A$46:$F$120,6,0),""))&amp;""</f>
        <v/>
      </c>
      <c r="G45" s="242"/>
      <c r="H45" s="241" t="str">
        <f>IFERROR(IF($H44+1&gt;'(backend scoring)'!$Q$335,"",$H44+1),"")</f>
        <v/>
      </c>
      <c r="I45" s="241" t="str">
        <f>_xlfn.XLOOKUP($H45,'(backend scoring)'!$S$2:$S$333,'(backend scoring)'!$A$2:$A$333,"")</f>
        <v/>
      </c>
      <c r="J45" s="241" t="str">
        <f>IFERROR(VLOOKUP($I45,'Institution Evaluation'!$A$55:$F$345,2,0),IFERROR(VLOOKUP($I45,'Privacy Analyst Evaluation'!$A$46:$F$120,2,0),""))</f>
        <v/>
      </c>
      <c r="K45" s="241" t="str">
        <f>IFERROR(VLOOKUP($I45,'Institution Evaluation'!$A$55:$F$345,3,0),IFERROR(VLOOKUP($I45,'Privacy Analyst Evaluation'!$A$46:$F$120,3,0),""))&amp;""</f>
        <v/>
      </c>
      <c r="L45" s="241" t="str">
        <f>IFERROR(VLOOKUP($I45,'Institution Evaluation'!$A$55:$F$345,4,0),IFERROR(VLOOKUP($I45,'Privacy Analyst Evaluation'!$A$46:$F$120,4,0),""))&amp;""</f>
        <v/>
      </c>
      <c r="M45" s="241" t="str">
        <f>IFERROR(VLOOKUP($I45,'Institution Evaluation'!$A$55:$F$345,6,0),IFERROR(VLOOKUP($I45,'Privacy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0" customHeight="1" x14ac:dyDescent="0.2">
      <c r="A46" s="241">
        <f>IFERROR(IF($A45+1&gt;'(backend scoring)'!$T$335,"",$A45+1),"")</f>
        <v>22</v>
      </c>
      <c r="B46" s="241" t="str">
        <f>_xlfn.XLOOKUP($A46,'(backend scoring)'!$V$2:$V$333,'(backend scoring)'!$A$2:$A$333,"")</f>
        <v>AAAI-01</v>
      </c>
      <c r="C46" s="241" t="str">
        <f>IFERROR(VLOOKUP($B46,'Institution Evaluation'!$A$55:$F$345,2,0),IFERROR(VLOOKUP($B46,'Privacy Analyst Evaluation'!$A$46:$F$120,2,0),""))&amp;""</f>
        <v>Does your solution support single sign-on (SSO) protocols for user and administrator authentication?*</v>
      </c>
      <c r="D46" s="241" t="str">
        <f>IFERROR(VLOOKUP($B46,'Institution Evaluation'!$A$55:$F$345,3,0),IFERROR(VLOOKUP($B46,'Privacy Analyst Evaluation'!$A$46:$F$120,3,0),""))&amp;""</f>
        <v>N/A</v>
      </c>
      <c r="E46" s="241" t="str">
        <f>IFERROR(VLOOKUP($B46,'Institution Evaluation'!$A$55:$F$345,4,0),IFERROR(VLOOKUP($B46,'Privacy Analyst Evaluation'!$A$46:$F$120,4,0),""))&amp;""</f>
        <v>This question does not apply.</v>
      </c>
      <c r="F46" s="241" t="str">
        <f>IFERROR(VLOOKUP($B46,'Institution Evaluation'!$A$55:$F$345,6,0),IFERROR(VLOOKUP($B46,'Privacy Analyst Evaluation'!$A$46:$F$120,6,0),""))&amp;""</f>
        <v/>
      </c>
      <c r="G46" s="242"/>
      <c r="H46" s="241" t="str">
        <f>IFERROR(IF($H45+1&gt;'(backend scoring)'!$Q$335,"",$H45+1),"")</f>
        <v/>
      </c>
      <c r="I46" s="241" t="str">
        <f>_xlfn.XLOOKUP($H46,'(backend scoring)'!$S$2:$S$333,'(backend scoring)'!$A$2:$A$333,"")</f>
        <v/>
      </c>
      <c r="J46" s="241" t="str">
        <f>IFERROR(VLOOKUP($I46,'Institution Evaluation'!$A$55:$F$345,2,0),IFERROR(VLOOKUP($I46,'Privacy Analyst Evaluation'!$A$46:$F$120,2,0),""))</f>
        <v/>
      </c>
      <c r="K46" s="241" t="str">
        <f>IFERROR(VLOOKUP($I46,'Institution Evaluation'!$A$55:$F$345,3,0),IFERROR(VLOOKUP($I46,'Privacy Analyst Evaluation'!$A$46:$F$120,3,0),""))&amp;""</f>
        <v/>
      </c>
      <c r="L46" s="241" t="str">
        <f>IFERROR(VLOOKUP($I46,'Institution Evaluation'!$A$55:$F$345,4,0),IFERROR(VLOOKUP($I46,'Privacy Analyst Evaluation'!$A$46:$F$120,4,0),""))&amp;""</f>
        <v/>
      </c>
      <c r="M46" s="241" t="str">
        <f>IFERROR(VLOOKUP($I46,'Institution Evaluation'!$A$55:$F$345,6,0),IFERROR(VLOOKUP($I46,'Privacy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75" customHeight="1" x14ac:dyDescent="0.2">
      <c r="A47" s="241">
        <f>IFERROR(IF($A46+1&gt;'(backend scoring)'!$T$335,"",$A46+1),"")</f>
        <v>23</v>
      </c>
      <c r="B47" s="241" t="str">
        <f>_xlfn.XLOOKUP($A47,'(backend scoring)'!$V$2:$V$333,'(backend scoring)'!$A$2:$A$333,"")</f>
        <v>AAAI-02</v>
      </c>
      <c r="C47" s="241" t="str">
        <f>IFERROR(VLOOKUP($B47,'Institution Evaluation'!$A$55:$F$345,2,0),IFERROR(VLOOKUP($B47,'Privacy Analyst Evaluation'!$A$46:$F$120,2,0),""))&amp;""</f>
        <v>For customers not using SSO, does your solution support local authentication protocols for user and administrator authentication?*</v>
      </c>
      <c r="D47" s="241" t="str">
        <f>IFERROR(VLOOKUP($B47,'Institution Evaluation'!$A$55:$F$345,3,0),IFERROR(VLOOKUP($B47,'Privacy Analyst Evaluation'!$A$46:$F$120,3,0),""))&amp;""</f>
        <v>N/A</v>
      </c>
      <c r="E47" s="241" t="str">
        <f>IFERROR(VLOOKUP($B47,'Institution Evaluation'!$A$55:$F$345,4,0),IFERROR(VLOOKUP($B47,'Privacy Analyst Evaluation'!$A$46:$F$120,4,0),""))&amp;""</f>
        <v/>
      </c>
      <c r="F47" s="241" t="str">
        <f>IFERROR(VLOOKUP($B47,'Institution Evaluation'!$A$55:$F$345,6,0),IFERROR(VLOOKUP($B47,'Privacy Analyst Evaluation'!$A$46:$F$120,6,0),""))&amp;""</f>
        <v/>
      </c>
      <c r="G47" s="242"/>
      <c r="H47" s="241" t="str">
        <f>IFERROR(IF($H46+1&gt;'(backend scoring)'!$Q$335,"",$H46+1),"")</f>
        <v/>
      </c>
      <c r="I47" s="241" t="str">
        <f>_xlfn.XLOOKUP($H47,'(backend scoring)'!$S$2:$S$333,'(backend scoring)'!$A$2:$A$333,"")</f>
        <v/>
      </c>
      <c r="J47" s="241" t="str">
        <f>IFERROR(VLOOKUP($I47,'Institution Evaluation'!$A$55:$F$345,2,0),IFERROR(VLOOKUP($I47,'Privacy Analyst Evaluation'!$A$46:$F$120,2,0),""))</f>
        <v/>
      </c>
      <c r="K47" s="241" t="str">
        <f>IFERROR(VLOOKUP($I47,'Institution Evaluation'!$A$55:$F$345,3,0),IFERROR(VLOOKUP($I47,'Privacy Analyst Evaluation'!$A$46:$F$120,3,0),""))&amp;""</f>
        <v/>
      </c>
      <c r="L47" s="241" t="str">
        <f>IFERROR(VLOOKUP($I47,'Institution Evaluation'!$A$55:$F$345,4,0),IFERROR(VLOOKUP($I47,'Privacy Analyst Evaluation'!$A$46:$F$120,4,0),""))&amp;""</f>
        <v/>
      </c>
      <c r="M47" s="241" t="str">
        <f>IFERROR(VLOOKUP($I47,'Institution Evaluation'!$A$55:$F$345,6,0),IFERROR(VLOOKUP($I47,'Privacy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customHeight="1" x14ac:dyDescent="0.2">
      <c r="A48" s="241">
        <f>IFERROR(IF($A47+1&gt;'(backend scoring)'!$T$335,"",$A47+1),"")</f>
        <v>24</v>
      </c>
      <c r="B48" s="241" t="str">
        <f>_xlfn.XLOOKUP($A48,'(backend scoring)'!$V$2:$V$333,'(backend scoring)'!$A$2:$A$333,"")</f>
        <v>AAAI-03</v>
      </c>
      <c r="C48" s="241" t="str">
        <f>IFERROR(VLOOKUP($B48,'Institution Evaluation'!$A$55:$F$345,2,0),IFERROR(VLOOKUP($B48,'Privacy Analyst Evaluation'!$A$46:$F$120,2,0),""))&amp;""</f>
        <v>For customers not using SSO, can you enforce password/passphrase complexity requirements (provided by the institution)?*</v>
      </c>
      <c r="D48" s="241" t="str">
        <f>IFERROR(VLOOKUP($B48,'Institution Evaluation'!$A$55:$F$345,3,0),IFERROR(VLOOKUP($B48,'Privacy Analyst Evaluation'!$A$46:$F$120,3,0),""))&amp;""</f>
        <v>N/A</v>
      </c>
      <c r="E48" s="241" t="str">
        <f>IFERROR(VLOOKUP($B48,'Institution Evaluation'!$A$55:$F$345,4,0),IFERROR(VLOOKUP($B48,'Privacy Analyst Evaluation'!$A$46:$F$120,4,0),""))&amp;""</f>
        <v/>
      </c>
      <c r="F48" s="241" t="str">
        <f>IFERROR(VLOOKUP($B48,'Institution Evaluation'!$A$55:$F$345,6,0),IFERROR(VLOOKUP($B48,'Privacy Analyst Evaluation'!$A$46:$F$120,6,0),""))&amp;""</f>
        <v/>
      </c>
      <c r="G48" s="242"/>
      <c r="H48" s="241" t="str">
        <f>IFERROR(IF($H47+1&gt;'(backend scoring)'!$Q$335,"",$H47+1),"")</f>
        <v/>
      </c>
      <c r="I48" s="241" t="str">
        <f>_xlfn.XLOOKUP($H48,'(backend scoring)'!$S$2:$S$333,'(backend scoring)'!$A$2:$A$333,"")</f>
        <v/>
      </c>
      <c r="J48" s="241" t="str">
        <f>IFERROR(VLOOKUP($I48,'Institution Evaluation'!$A$55:$F$345,2,0),IFERROR(VLOOKUP($I48,'Privacy Analyst Evaluation'!$A$46:$F$120,2,0),""))</f>
        <v/>
      </c>
      <c r="K48" s="241" t="str">
        <f>IFERROR(VLOOKUP($I48,'Institution Evaluation'!$A$55:$F$345,3,0),IFERROR(VLOOKUP($I48,'Privacy Analyst Evaluation'!$A$46:$F$120,3,0),""))&amp;""</f>
        <v/>
      </c>
      <c r="L48" s="241" t="str">
        <f>IFERROR(VLOOKUP($I48,'Institution Evaluation'!$A$55:$F$345,4,0),IFERROR(VLOOKUP($I48,'Privacy Analyst Evaluation'!$A$46:$F$120,4,0),""))&amp;""</f>
        <v/>
      </c>
      <c r="M48" s="241" t="str">
        <f>IFERROR(VLOOKUP($I48,'Institution Evaluation'!$A$55:$F$345,6,0),IFERROR(VLOOKUP($I48,'Privacy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60" customHeight="1" x14ac:dyDescent="0.2">
      <c r="A49" s="241">
        <f>IFERROR(IF($A48+1&gt;'(backend scoring)'!$T$335,"",$A48+1),"")</f>
        <v>25</v>
      </c>
      <c r="B49" s="241" t="str">
        <f>_xlfn.XLOOKUP($A49,'(backend scoring)'!$V$2:$V$333,'(backend scoring)'!$A$2:$A$333,"")</f>
        <v>AAAI-04</v>
      </c>
      <c r="C49" s="241" t="str">
        <f>IFERROR(VLOOKUP($B49,'Institution Evaluation'!$A$55:$F$345,2,0),IFERROR(VLOOKUP($B49,'Privacy Analyst Evaluation'!$A$46:$F$120,2,0),""))&amp;""</f>
        <v>For customers not using SSO, does the system have password complexity or length limitations and/or restrictions?*</v>
      </c>
      <c r="D49" s="241" t="str">
        <f>IFERROR(VLOOKUP($B49,'Institution Evaluation'!$A$55:$F$345,3,0),IFERROR(VLOOKUP($B49,'Privacy Analyst Evaluation'!$A$46:$F$120,3,0),""))&amp;""</f>
        <v>N/A</v>
      </c>
      <c r="E49" s="241" t="str">
        <f>IFERROR(VLOOKUP($B49,'Institution Evaluation'!$A$55:$F$345,4,0),IFERROR(VLOOKUP($B49,'Privacy Analyst Evaluation'!$A$46:$F$120,4,0),""))&amp;""</f>
        <v/>
      </c>
      <c r="F49" s="241" t="str">
        <f>IFERROR(VLOOKUP($B49,'Institution Evaluation'!$A$55:$F$345,6,0),IFERROR(VLOOKUP($B49,'Privacy Analyst Evaluation'!$A$46:$F$120,6,0),""))&amp;""</f>
        <v/>
      </c>
      <c r="G49" s="242"/>
      <c r="H49" s="241" t="str">
        <f>IFERROR(IF($H48+1&gt;'(backend scoring)'!$Q$335,"",$H48+1),"")</f>
        <v/>
      </c>
      <c r="I49" s="241" t="str">
        <f>_xlfn.XLOOKUP($H49,'(backend scoring)'!$S$2:$S$333,'(backend scoring)'!$A$2:$A$333,"")</f>
        <v/>
      </c>
      <c r="J49" s="241" t="str">
        <f>IFERROR(VLOOKUP($I49,'Institution Evaluation'!$A$55:$F$345,2,0),IFERROR(VLOOKUP($I49,'Privacy Analyst Evaluation'!$A$46:$F$120,2,0),""))</f>
        <v/>
      </c>
      <c r="K49" s="241" t="str">
        <f>IFERROR(VLOOKUP($I49,'Institution Evaluation'!$A$55:$F$345,3,0),IFERROR(VLOOKUP($I49,'Privacy Analyst Evaluation'!$A$46:$F$120,3,0),""))&amp;""</f>
        <v/>
      </c>
      <c r="L49" s="241" t="str">
        <f>IFERROR(VLOOKUP($I49,'Institution Evaluation'!$A$55:$F$345,4,0),IFERROR(VLOOKUP($I49,'Privacy Analyst Evaluation'!$A$46:$F$120,4,0),""))&amp;""</f>
        <v/>
      </c>
      <c r="M49" s="241" t="str">
        <f>IFERROR(VLOOKUP($I49,'Institution Evaluation'!$A$55:$F$345,6,0),IFERROR(VLOOKUP($I49,'Privacy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90" customHeight="1" x14ac:dyDescent="0.2">
      <c r="A50" s="241">
        <f>IFERROR(IF($A49+1&gt;'(backend scoring)'!$T$335,"",$A49+1),"")</f>
        <v>26</v>
      </c>
      <c r="B50" s="241" t="str">
        <f>_xlfn.XLOOKUP($A50,'(backend scoring)'!$V$2:$V$333,'(backend scoring)'!$A$2:$A$333,"")</f>
        <v>AAAI-05</v>
      </c>
      <c r="C50" s="241" t="str">
        <f>IFERROR(VLOOKUP($B50,'Institution Evaluation'!$A$55:$F$345,2,0),IFERROR(VLOOKUP($B50,'Privacy Analyst Evaluation'!$A$46:$F$120,2,0),""))&amp;""</f>
        <v>For customers not using SSO, do you have documented password/passphrase reset procedures that are currently implemented in the system and/or customer support?*</v>
      </c>
      <c r="D50" s="241" t="str">
        <f>IFERROR(VLOOKUP($B50,'Institution Evaluation'!$A$55:$F$345,3,0),IFERROR(VLOOKUP($B50,'Privacy Analyst Evaluation'!$A$46:$F$120,3,0),""))&amp;""</f>
        <v>N/A</v>
      </c>
      <c r="E50" s="241" t="str">
        <f>IFERROR(VLOOKUP($B50,'Institution Evaluation'!$A$55:$F$345,4,0),IFERROR(VLOOKUP($B50,'Privacy Analyst Evaluation'!$A$46:$F$120,4,0),""))&amp;""</f>
        <v/>
      </c>
      <c r="F50" s="241" t="str">
        <f>IFERROR(VLOOKUP($B50,'Institution Evaluation'!$A$55:$F$345,6,0),IFERROR(VLOOKUP($B50,'Privacy Analyst Evaluation'!$A$46:$F$120,6,0),""))&amp;""</f>
        <v/>
      </c>
      <c r="G50" s="242"/>
      <c r="H50" s="241" t="str">
        <f>IFERROR(IF($H49+1&gt;'(backend scoring)'!$Q$335,"",$H49+1),"")</f>
        <v/>
      </c>
      <c r="I50" s="241" t="str">
        <f>_xlfn.XLOOKUP($H50,'(backend scoring)'!$S$2:$S$333,'(backend scoring)'!$A$2:$A$333,"")</f>
        <v/>
      </c>
      <c r="J50" s="241" t="str">
        <f>IFERROR(VLOOKUP($I50,'Institution Evaluation'!$A$55:$F$345,2,0),IFERROR(VLOOKUP($I50,'Privacy Analyst Evaluation'!$A$46:$F$120,2,0),""))</f>
        <v/>
      </c>
      <c r="K50" s="241" t="str">
        <f>IFERROR(VLOOKUP($I50,'Institution Evaluation'!$A$55:$F$345,3,0),IFERROR(VLOOKUP($I50,'Privacy Analyst Evaluation'!$A$46:$F$120,3,0),""))&amp;""</f>
        <v/>
      </c>
      <c r="L50" s="241" t="str">
        <f>IFERROR(VLOOKUP($I50,'Institution Evaluation'!$A$55:$F$345,4,0),IFERROR(VLOOKUP($I50,'Privacy Analyst Evaluation'!$A$46:$F$120,4,0),""))&amp;""</f>
        <v/>
      </c>
      <c r="M50" s="241" t="str">
        <f>IFERROR(VLOOKUP($I50,'Institution Evaluation'!$A$55:$F$345,6,0),IFERROR(VLOOKUP($I50,'Privacy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60" customHeight="1" x14ac:dyDescent="0.2">
      <c r="A51" s="241">
        <f>IFERROR(IF($A50+1&gt;'(backend scoring)'!$T$335,"",$A50+1),"")</f>
        <v>27</v>
      </c>
      <c r="B51" s="241" t="str">
        <f>_xlfn.XLOOKUP($A51,'(backend scoring)'!$V$2:$V$333,'(backend scoring)'!$A$2:$A$333,"")</f>
        <v>AAAI-06</v>
      </c>
      <c r="C51" s="241" t="str">
        <f>IFERROR(VLOOKUP($B51,'Institution Evaluation'!$A$55:$F$345,2,0),IFERROR(VLOOKUP($B51,'Privacy Analyst Evaluation'!$A$46:$F$120,2,0),""))&amp;""</f>
        <v>Does your organization participate in InCommon or another eduGAIN-affiliated trust federation?*</v>
      </c>
      <c r="D51" s="241" t="str">
        <f>IFERROR(VLOOKUP($B51,'Institution Evaluation'!$A$55:$F$345,3,0),IFERROR(VLOOKUP($B51,'Privacy Analyst Evaluation'!$A$46:$F$120,3,0),""))&amp;""</f>
        <v>N/A</v>
      </c>
      <c r="E51" s="241" t="str">
        <f>IFERROR(VLOOKUP($B51,'Institution Evaluation'!$A$55:$F$345,4,0),IFERROR(VLOOKUP($B51,'Privacy Analyst Evaluation'!$A$46:$F$120,4,0),""))&amp;""</f>
        <v>This question does not apply.</v>
      </c>
      <c r="F51" s="241" t="str">
        <f>IFERROR(VLOOKUP($B51,'Institution Evaluation'!$A$55:$F$345,6,0),IFERROR(VLOOKUP($B51,'Privacy Analyst Evaluation'!$A$46:$F$120,6,0),""))&amp;""</f>
        <v/>
      </c>
      <c r="G51" s="242"/>
      <c r="H51" s="241" t="str">
        <f>IFERROR(IF($H50+1&gt;'(backend scoring)'!$Q$335,"",$H50+1),"")</f>
        <v/>
      </c>
      <c r="I51" s="241" t="str">
        <f>_xlfn.XLOOKUP($H51,'(backend scoring)'!$S$2:$S$333,'(backend scoring)'!$A$2:$A$333,"")</f>
        <v/>
      </c>
      <c r="J51" s="241" t="str">
        <f>IFERROR(VLOOKUP($I51,'Institution Evaluation'!$A$55:$F$345,2,0),IFERROR(VLOOKUP($I51,'Privacy Analyst Evaluation'!$A$46:$F$120,2,0),""))</f>
        <v/>
      </c>
      <c r="K51" s="241" t="str">
        <f>IFERROR(VLOOKUP($I51,'Institution Evaluation'!$A$55:$F$345,3,0),IFERROR(VLOOKUP($I51,'Privacy Analyst Evaluation'!$A$46:$F$120,3,0),""))&amp;""</f>
        <v/>
      </c>
      <c r="L51" s="241" t="str">
        <f>IFERROR(VLOOKUP($I51,'Institution Evaluation'!$A$55:$F$345,4,0),IFERROR(VLOOKUP($I51,'Privacy Analyst Evaluation'!$A$46:$F$120,4,0),""))&amp;""</f>
        <v/>
      </c>
      <c r="M51" s="241" t="str">
        <f>IFERROR(VLOOKUP($I51,'Institution Evaluation'!$A$55:$F$345,6,0),IFERROR(VLOOKUP($I51,'Privacy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customHeight="1" x14ac:dyDescent="0.2">
      <c r="A52" s="241">
        <f>IFERROR(IF($A51+1&gt;'(backend scoring)'!$T$335,"",$A51+1),"")</f>
        <v>28</v>
      </c>
      <c r="B52" s="241" t="str">
        <f>_xlfn.XLOOKUP($A52,'(backend scoring)'!$V$2:$V$333,'(backend scoring)'!$A$2:$A$333,"")</f>
        <v>AAAI-07</v>
      </c>
      <c r="C52" s="241" t="str">
        <f>IFERROR(VLOOKUP($B52,'Institution Evaluation'!$A$55:$F$345,2,0),IFERROR(VLOOKUP($B52,'Privacy Analyst Evaluation'!$A$46:$F$120,2,0),""))&amp;""</f>
        <v>Are there any passwords/passphrases hard-coded into your systems or solutions?*</v>
      </c>
      <c r="D52" s="241" t="str">
        <f>IFERROR(VLOOKUP($B52,'Institution Evaluation'!$A$55:$F$345,3,0),IFERROR(VLOOKUP($B52,'Privacy Analyst Evaluation'!$A$46:$F$120,3,0),""))&amp;""</f>
        <v>N/A</v>
      </c>
      <c r="E52" s="241" t="str">
        <f>IFERROR(VLOOKUP($B52,'Institution Evaluation'!$A$55:$F$345,4,0),IFERROR(VLOOKUP($B52,'Privacy Analyst Evaluation'!$A$46:$F$120,4,0),""))&amp;""</f>
        <v>This question does not apply.</v>
      </c>
      <c r="F52" s="241" t="str">
        <f>IFERROR(VLOOKUP($B52,'Institution Evaluation'!$A$55:$F$345,6,0),IFERROR(VLOOKUP($B52,'Privacy Analyst Evaluation'!$A$46:$F$120,6,0),""))&amp;""</f>
        <v/>
      </c>
      <c r="G52" s="242"/>
      <c r="H52" s="241" t="str">
        <f>IFERROR(IF($H51+1&gt;'(backend scoring)'!$Q$335,"",$H51+1),"")</f>
        <v/>
      </c>
      <c r="I52" s="241" t="str">
        <f>_xlfn.XLOOKUP($H52,'(backend scoring)'!$S$2:$S$333,'(backend scoring)'!$A$2:$A$333,"")</f>
        <v/>
      </c>
      <c r="J52" s="241" t="str">
        <f>IFERROR(VLOOKUP($I52,'Institution Evaluation'!$A$55:$F$345,2,0),IFERROR(VLOOKUP($I52,'Privacy Analyst Evaluation'!$A$46:$F$120,2,0),""))</f>
        <v/>
      </c>
      <c r="K52" s="241" t="str">
        <f>IFERROR(VLOOKUP($I52,'Institution Evaluation'!$A$55:$F$345,3,0),IFERROR(VLOOKUP($I52,'Privacy Analyst Evaluation'!$A$46:$F$120,3,0),""))&amp;""</f>
        <v/>
      </c>
      <c r="L52" s="241" t="str">
        <f>IFERROR(VLOOKUP($I52,'Institution Evaluation'!$A$55:$F$345,4,0),IFERROR(VLOOKUP($I52,'Privacy Analyst Evaluation'!$A$46:$F$120,4,0),""))&amp;""</f>
        <v/>
      </c>
      <c r="M52" s="241" t="str">
        <f>IFERROR(VLOOKUP($I52,'Institution Evaluation'!$A$55:$F$345,6,0),IFERROR(VLOOKUP($I52,'Privacy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30" customHeight="1" x14ac:dyDescent="0.2">
      <c r="A53" s="241">
        <f>IFERROR(IF($A52+1&gt;'(backend scoring)'!$T$335,"",$A52+1),"")</f>
        <v>29</v>
      </c>
      <c r="B53" s="241" t="str">
        <f>_xlfn.XLOOKUP($A53,'(backend scoring)'!$V$2:$V$333,'(backend scoring)'!$A$2:$A$333,"")</f>
        <v>AAAI-08</v>
      </c>
      <c r="C53" s="241" t="str">
        <f>IFERROR(VLOOKUP($B53,'Institution Evaluation'!$A$55:$F$345,2,0),IFERROR(VLOOKUP($B53,'Privacy Analyst Evaluation'!$A$46:$F$120,2,0),""))&amp;""</f>
        <v>Are you storing any passwords in plaintext?*</v>
      </c>
      <c r="D53" s="241" t="str">
        <f>IFERROR(VLOOKUP($B53,'Institution Evaluation'!$A$55:$F$345,3,0),IFERROR(VLOOKUP($B53,'Privacy Analyst Evaluation'!$A$46:$F$120,3,0),""))&amp;""</f>
        <v>N/A</v>
      </c>
      <c r="E53" s="241" t="str">
        <f>IFERROR(VLOOKUP($B53,'Institution Evaluation'!$A$55:$F$345,4,0),IFERROR(VLOOKUP($B53,'Privacy Analyst Evaluation'!$A$46:$F$120,4,0),""))&amp;""</f>
        <v>This question does not apply.</v>
      </c>
      <c r="F53" s="241" t="str">
        <f>IFERROR(VLOOKUP($B53,'Institution Evaluation'!$A$55:$F$345,6,0),IFERROR(VLOOKUP($B53,'Privacy Analyst Evaluation'!$A$46:$F$120,6,0),""))&amp;""</f>
        <v/>
      </c>
      <c r="G53" s="242"/>
      <c r="H53" s="241" t="str">
        <f>IFERROR(IF($H52+1&gt;'(backend scoring)'!$Q$335,"",$H52+1),"")</f>
        <v/>
      </c>
      <c r="I53" s="241" t="str">
        <f>_xlfn.XLOOKUP($H53,'(backend scoring)'!$S$2:$S$333,'(backend scoring)'!$A$2:$A$333,"")</f>
        <v/>
      </c>
      <c r="J53" s="241" t="str">
        <f>IFERROR(VLOOKUP($I53,'Institution Evaluation'!$A$55:$F$345,2,0),IFERROR(VLOOKUP($I53,'Privacy Analyst Evaluation'!$A$46:$F$120,2,0),""))</f>
        <v/>
      </c>
      <c r="K53" s="241" t="str">
        <f>IFERROR(VLOOKUP($I53,'Institution Evaluation'!$A$55:$F$345,3,0),IFERROR(VLOOKUP($I53,'Privacy Analyst Evaluation'!$A$46:$F$120,3,0),""))&amp;""</f>
        <v/>
      </c>
      <c r="L53" s="241" t="str">
        <f>IFERROR(VLOOKUP($I53,'Institution Evaluation'!$A$55:$F$345,4,0),IFERROR(VLOOKUP($I53,'Privacy Analyst Evaluation'!$A$46:$F$120,4,0),""))&amp;""</f>
        <v/>
      </c>
      <c r="M53" s="241" t="str">
        <f>IFERROR(VLOOKUP($I53,'Institution Evaluation'!$A$55:$F$345,6,0),IFERROR(VLOOKUP($I53,'Privacy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75" customHeight="1" x14ac:dyDescent="0.2">
      <c r="A54" s="241">
        <f>IFERROR(IF($A53+1&gt;'(backend scoring)'!$T$335,"",$A53+1),"")</f>
        <v>30</v>
      </c>
      <c r="B54" s="241" t="str">
        <f>_xlfn.XLOOKUP($A54,'(backend scoring)'!$V$2:$V$333,'(backend scoring)'!$A$2:$A$333,"")</f>
        <v>AAAI-09</v>
      </c>
      <c r="C54" s="241" t="str">
        <f>IFERROR(VLOOKUP($B54,'Institution Evaluation'!$A$55:$F$345,2,0),IFERROR(VLOOKUP($B54,'Privacy Analyst Evaluation'!$A$46:$F$120,2,0),""))&amp;""</f>
        <v>Are audit logs available that include AT LEAST all of the following: login, logout, actions performed, and source IP address?*</v>
      </c>
      <c r="D54" s="241" t="str">
        <f>IFERROR(VLOOKUP($B54,'Institution Evaluation'!$A$55:$F$345,3,0),IFERROR(VLOOKUP($B54,'Privacy Analyst Evaluation'!$A$46:$F$120,3,0),""))&amp;""</f>
        <v>N/A</v>
      </c>
      <c r="E54" s="241" t="str">
        <f>IFERROR(VLOOKUP($B54,'Institution Evaluation'!$A$55:$F$345,4,0),IFERROR(VLOOKUP($B54,'Privacy Analyst Evaluation'!$A$46:$F$120,4,0),""))&amp;""</f>
        <v>This question does not apply.</v>
      </c>
      <c r="F54" s="241" t="str">
        <f>IFERROR(VLOOKUP($B54,'Institution Evaluation'!$A$55:$F$345,6,0),IFERROR(VLOOKUP($B54,'Privacy Analyst Evaluation'!$A$46:$F$120,6,0),""))&amp;""</f>
        <v/>
      </c>
      <c r="G54" s="242"/>
      <c r="H54" s="241" t="str">
        <f>IFERROR(IF($H53+1&gt;'(backend scoring)'!$Q$335,"",$H53+1),"")</f>
        <v/>
      </c>
      <c r="I54" s="241" t="str">
        <f>_xlfn.XLOOKUP($H54,'(backend scoring)'!$S$2:$S$333,'(backend scoring)'!$A$2:$A$333,"")</f>
        <v/>
      </c>
      <c r="J54" s="241" t="str">
        <f>IFERROR(VLOOKUP($I54,'Institution Evaluation'!$A$55:$F$345,2,0),IFERROR(VLOOKUP($I54,'Privacy Analyst Evaluation'!$A$46:$F$120,2,0),""))</f>
        <v/>
      </c>
      <c r="K54" s="241" t="str">
        <f>IFERROR(VLOOKUP($I54,'Institution Evaluation'!$A$55:$F$345,3,0),IFERROR(VLOOKUP($I54,'Privacy Analyst Evaluation'!$A$46:$F$120,3,0),""))&amp;""</f>
        <v/>
      </c>
      <c r="L54" s="241" t="str">
        <f>IFERROR(VLOOKUP($I54,'Institution Evaluation'!$A$55:$F$345,4,0),IFERROR(VLOOKUP($I54,'Privacy Analyst Evaluation'!$A$46:$F$120,4,0),""))&amp;""</f>
        <v/>
      </c>
      <c r="M54" s="241" t="str">
        <f>IFERROR(VLOOKUP($I54,'Institution Evaluation'!$A$55:$F$345,6,0),IFERROR(VLOOKUP($I54,'Privacy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90" customHeight="1" x14ac:dyDescent="0.2">
      <c r="A55" s="241">
        <f>IFERROR(IF($A54+1&gt;'(backend scoring)'!$T$335,"",$A54+1),"")</f>
        <v>31</v>
      </c>
      <c r="B55" s="241" t="str">
        <f>_xlfn.XLOOKUP($A55,'(backend scoring)'!$V$2:$V$333,'(backend scoring)'!$A$2:$A$333,"")</f>
        <v>AAAI-11</v>
      </c>
      <c r="C55" s="241" t="str">
        <f>IFERROR(VLOOKUP($B55,'Institution Evaluation'!$A$55:$F$345,2,0),IFERROR(VLOOKUP($B55,'Privacy Analyst Evaluation'!$A$46:$F$120,2,0),""))&amp;""</f>
        <v>Can you provide the institution documentation regarding the retention period for those logs, how logs are protected, and whether they are accessible to the customer (and if so, how)?*</v>
      </c>
      <c r="D55" s="241" t="str">
        <f>IFERROR(VLOOKUP($B55,'Institution Evaluation'!$A$55:$F$345,3,0),IFERROR(VLOOKUP($B55,'Privacy Analyst Evaluation'!$A$46:$F$120,3,0),""))&amp;""</f>
        <v>N/A</v>
      </c>
      <c r="E55" s="241" t="str">
        <f>IFERROR(VLOOKUP($B55,'Institution Evaluation'!$A$55:$F$345,4,0),IFERROR(VLOOKUP($B55,'Privacy Analyst Evaluation'!$A$46:$F$120,4,0),""))&amp;""</f>
        <v>This question does not apply.</v>
      </c>
      <c r="F55" s="241" t="str">
        <f>IFERROR(VLOOKUP($B55,'Institution Evaluation'!$A$55:$F$345,6,0),IFERROR(VLOOKUP($B55,'Privacy Analyst Evaluation'!$A$46:$F$120,6,0),""))&amp;""</f>
        <v/>
      </c>
      <c r="G55" s="242"/>
      <c r="H55" s="241" t="str">
        <f>IFERROR(IF($H54+1&gt;'(backend scoring)'!$Q$335,"",$H54+1),"")</f>
        <v/>
      </c>
      <c r="I55" s="241" t="str">
        <f>_xlfn.XLOOKUP($H55,'(backend scoring)'!$S$2:$S$333,'(backend scoring)'!$A$2:$A$333,"")</f>
        <v/>
      </c>
      <c r="J55" s="241" t="str">
        <f>IFERROR(VLOOKUP($I55,'Institution Evaluation'!$A$55:$F$345,2,0),IFERROR(VLOOKUP($I55,'Privacy Analyst Evaluation'!$A$46:$F$120,2,0),""))</f>
        <v/>
      </c>
      <c r="K55" s="241" t="str">
        <f>IFERROR(VLOOKUP($I55,'Institution Evaluation'!$A$55:$F$345,3,0),IFERROR(VLOOKUP($I55,'Privacy Analyst Evaluation'!$A$46:$F$120,3,0),""))&amp;""</f>
        <v/>
      </c>
      <c r="L55" s="241" t="str">
        <f>IFERROR(VLOOKUP($I55,'Institution Evaluation'!$A$55:$F$345,4,0),IFERROR(VLOOKUP($I55,'Privacy Analyst Evaluation'!$A$46:$F$120,4,0),""))&amp;""</f>
        <v/>
      </c>
      <c r="M55" s="241" t="str">
        <f>IFERROR(VLOOKUP($I55,'Institution Evaluation'!$A$55:$F$345,6,0),IFERROR(VLOOKUP($I55,'Privacy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75" customHeight="1" x14ac:dyDescent="0.2">
      <c r="A56" s="241">
        <f>IFERROR(IF($A55+1&gt;'(backend scoring)'!$T$335,"",$A55+1),"")</f>
        <v>32</v>
      </c>
      <c r="B56" s="241" t="str">
        <f>_xlfn.XLOOKUP($A56,'(backend scoring)'!$V$2:$V$333,'(backend scoring)'!$A$2:$A$333,"")</f>
        <v>CHNG-01</v>
      </c>
      <c r="C56" s="241" t="str">
        <f>IFERROR(VLOOKUP($B56,'Institution Evaluation'!$A$55:$F$345,2,0),IFERROR(VLOOKUP($B56,'Privacy Analyst Evaluation'!$A$46:$F$120,2,0),""))&amp;""</f>
        <v>Will the institution be notified of major changes to your environment that could impact the institution's security posture?*</v>
      </c>
      <c r="D56" s="241" t="str">
        <f>IFERROR(VLOOKUP($B56,'Institution Evaluation'!$A$55:$F$345,3,0),IFERROR(VLOOKUP($B56,'Privacy Analyst Evaluation'!$A$46:$F$120,3,0),""))&amp;""</f>
        <v>Yes</v>
      </c>
      <c r="E56" s="241" t="str">
        <f>IFERROR(VLOOKUP($B56,'Institution Evaluation'!$A$55:$F$345,4,0),IFERROR(VLOOKUP($B56,'Privacy Analyst Evaluation'!$A$46:$F$120,4,0),""))&amp;""</f>
        <v>Customers are informed of major SmartPLS releases via the website and, where relevant, direct email.</v>
      </c>
      <c r="F56" s="241" t="str">
        <f>IFERROR(VLOOKUP($B56,'Institution Evaluation'!$A$55:$F$345,6,0),IFERROR(VLOOKUP($B56,'Privacy Analyst Evaluation'!$A$46:$F$120,6,0),""))&amp;""</f>
        <v/>
      </c>
      <c r="G56" s="242"/>
      <c r="H56" s="241" t="str">
        <f>IFERROR(IF($H55+1&gt;'(backend scoring)'!$Q$335,"",$H55+1),"")</f>
        <v/>
      </c>
      <c r="I56" s="241" t="str">
        <f>_xlfn.XLOOKUP($H56,'(backend scoring)'!$S$2:$S$333,'(backend scoring)'!$A$2:$A$333,"")</f>
        <v/>
      </c>
      <c r="J56" s="241" t="str">
        <f>IFERROR(VLOOKUP($I56,'Institution Evaluation'!$A$55:$F$345,2,0),IFERROR(VLOOKUP($I56,'Privacy Analyst Evaluation'!$A$46:$F$120,2,0),""))</f>
        <v/>
      </c>
      <c r="K56" s="241" t="str">
        <f>IFERROR(VLOOKUP($I56,'Institution Evaluation'!$A$55:$F$345,3,0),IFERROR(VLOOKUP($I56,'Privacy Analyst Evaluation'!$A$46:$F$120,3,0),""))&amp;""</f>
        <v/>
      </c>
      <c r="L56" s="241" t="str">
        <f>IFERROR(VLOOKUP($I56,'Institution Evaluation'!$A$55:$F$345,4,0),IFERROR(VLOOKUP($I56,'Privacy Analyst Evaluation'!$A$46:$F$120,4,0),""))&amp;""</f>
        <v/>
      </c>
      <c r="M56" s="241" t="str">
        <f>IFERROR(VLOOKUP($I56,'Institution Evaluation'!$A$55:$F$345,6,0),IFERROR(VLOOKUP($I56,'Privacy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45" customHeight="1" x14ac:dyDescent="0.2">
      <c r="A57" s="241">
        <f>IFERROR(IF($A56+1&gt;'(backend scoring)'!$T$335,"",$A56+1),"")</f>
        <v>33</v>
      </c>
      <c r="B57" s="241" t="str">
        <f>_xlfn.XLOOKUP($A57,'(backend scoring)'!$V$2:$V$333,'(backend scoring)'!$A$2:$A$333,"")</f>
        <v>CHNG-02</v>
      </c>
      <c r="C57" s="241" t="str">
        <f>IFERROR(VLOOKUP($B57,'Institution Evaluation'!$A$55:$F$345,2,0),IFERROR(VLOOKUP($B57,'Privacy Analyst Evaluation'!$A$46:$F$120,2,0),""))&amp;""</f>
        <v>Does the system support client customizations from one release to another?*</v>
      </c>
      <c r="D57" s="241" t="str">
        <f>IFERROR(VLOOKUP($B57,'Institution Evaluation'!$A$55:$F$345,3,0),IFERROR(VLOOKUP($B57,'Privacy Analyst Evaluation'!$A$46:$F$120,3,0),""))&amp;""</f>
        <v>N/A</v>
      </c>
      <c r="E57" s="241" t="str">
        <f>IFERROR(VLOOKUP($B57,'Institution Evaluation'!$A$55:$F$345,4,0),IFERROR(VLOOKUP($B57,'Privacy Analyst Evaluation'!$A$46:$F$120,4,0),""))&amp;""</f>
        <v>SmartPLS Desktop is a standard, non-customized product; there is no client-specific customization between releases.</v>
      </c>
      <c r="F57" s="241" t="str">
        <f>IFERROR(VLOOKUP($B57,'Institution Evaluation'!$A$55:$F$345,6,0),IFERROR(VLOOKUP($B57,'Privacy Analyst Evaluation'!$A$46:$F$120,6,0),""))&amp;""</f>
        <v/>
      </c>
      <c r="G57" s="242"/>
      <c r="H57" s="241" t="str">
        <f>IFERROR(IF($H56+1&gt;'(backend scoring)'!$Q$335,"",$H56+1),"")</f>
        <v/>
      </c>
      <c r="I57" s="241" t="str">
        <f>_xlfn.XLOOKUP($H57,'(backend scoring)'!$S$2:$S$333,'(backend scoring)'!$A$2:$A$333,"")</f>
        <v/>
      </c>
      <c r="J57" s="241" t="str">
        <f>IFERROR(VLOOKUP($I57,'Institution Evaluation'!$A$55:$F$345,2,0),IFERROR(VLOOKUP($I57,'Privacy Analyst Evaluation'!$A$46:$F$120,2,0),""))</f>
        <v/>
      </c>
      <c r="K57" s="241" t="str">
        <f>IFERROR(VLOOKUP($I57,'Institution Evaluation'!$A$55:$F$345,3,0),IFERROR(VLOOKUP($I57,'Privacy Analyst Evaluation'!$A$46:$F$120,3,0),""))&amp;""</f>
        <v/>
      </c>
      <c r="L57" s="241" t="str">
        <f>IFERROR(VLOOKUP($I57,'Institution Evaluation'!$A$55:$F$345,4,0),IFERROR(VLOOKUP($I57,'Privacy Analyst Evaluation'!$A$46:$F$120,4,0),""))&amp;""</f>
        <v/>
      </c>
      <c r="M57" s="241" t="str">
        <f>IFERROR(VLOOKUP($I57,'Institution Evaluation'!$A$55:$F$345,6,0),IFERROR(VLOOKUP($I57,'Privacy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60" customHeight="1" x14ac:dyDescent="0.2">
      <c r="A58" s="241">
        <f>IFERROR(IF($A57+1&gt;'(backend scoring)'!$T$335,"",$A57+1),"")</f>
        <v>34</v>
      </c>
      <c r="B58" s="241" t="str">
        <f>_xlfn.XLOOKUP($A58,'(backend scoring)'!$V$2:$V$333,'(backend scoring)'!$A$2:$A$333,"")</f>
        <v>CHNG-03</v>
      </c>
      <c r="C58" s="241" t="str">
        <f>IFERROR(VLOOKUP($B58,'Institution Evaluation'!$A$55:$F$345,2,0),IFERROR(VLOOKUP($B58,'Privacy Analyst Evaluation'!$A$46:$F$120,2,0),""))&amp;""</f>
        <v>Do you have an implemented system configuration management process (e.g., secure "gold" images, etc.)?*</v>
      </c>
      <c r="D58" s="241" t="str">
        <f>IFERROR(VLOOKUP($B58,'Institution Evaluation'!$A$55:$F$345,3,0),IFERROR(VLOOKUP($B58,'Privacy Analyst Evaluation'!$A$46:$F$120,3,0),""))&amp;""</f>
        <v>N/A</v>
      </c>
      <c r="E58" s="241" t="str">
        <f>IFERROR(VLOOKUP($B58,'Institution Evaluation'!$A$55:$F$345,4,0),IFERROR(VLOOKUP($B58,'Privacy Analyst Evaluation'!$A$46:$F$120,4,0),""))&amp;""</f>
        <v>SmartPLS Desktop is a locally installed application; SmartPLS does not operate customer-facing servers requiring configuration-management "gold images."</v>
      </c>
      <c r="F58" s="241" t="str">
        <f>IFERROR(VLOOKUP($B58,'Institution Evaluation'!$A$55:$F$345,6,0),IFERROR(VLOOKUP($B58,'Privacy Analyst Evaluation'!$A$46:$F$120,6,0),""))&amp;""</f>
        <v/>
      </c>
      <c r="G58" s="242"/>
      <c r="H58" s="241" t="str">
        <f>IFERROR(IF($H57+1&gt;'(backend scoring)'!$Q$335,"",$H57+1),"")</f>
        <v/>
      </c>
      <c r="I58" s="241" t="str">
        <f>_xlfn.XLOOKUP($H58,'(backend scoring)'!$S$2:$S$333,'(backend scoring)'!$A$2:$A$333,"")</f>
        <v/>
      </c>
      <c r="J58" s="241" t="str">
        <f>IFERROR(VLOOKUP($I58,'Institution Evaluation'!$A$55:$F$345,2,0),IFERROR(VLOOKUP($I58,'Privacy Analyst Evaluation'!$A$46:$F$120,2,0),""))</f>
        <v/>
      </c>
      <c r="K58" s="241" t="str">
        <f>IFERROR(VLOOKUP($I58,'Institution Evaluation'!$A$55:$F$345,3,0),IFERROR(VLOOKUP($I58,'Privacy Analyst Evaluation'!$A$46:$F$120,3,0),""))&amp;""</f>
        <v/>
      </c>
      <c r="L58" s="241" t="str">
        <f>IFERROR(VLOOKUP($I58,'Institution Evaluation'!$A$55:$F$345,4,0),IFERROR(VLOOKUP($I58,'Privacy Analyst Evaluation'!$A$46:$F$120,4,0),""))&amp;""</f>
        <v/>
      </c>
      <c r="M58" s="241" t="str">
        <f>IFERROR(VLOOKUP($I58,'Institution Evaluation'!$A$55:$F$345,6,0),IFERROR(VLOOKUP($I58,'Privacy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90" customHeight="1" x14ac:dyDescent="0.2">
      <c r="A59" s="241">
        <f>IFERROR(IF($A58+1&gt;'(backend scoring)'!$T$335,"",$A58+1),"")</f>
        <v>35</v>
      </c>
      <c r="B59" s="241" t="str">
        <f>_xlfn.XLOOKUP($A59,'(backend scoring)'!$V$2:$V$333,'(backend scoring)'!$A$2:$A$333,"")</f>
        <v>DATA-01</v>
      </c>
      <c r="C59" s="241" t="str">
        <f>IFERROR(VLOOKUP($B59,'Institution Evaluation'!$A$55:$F$345,2,0),IFERROR(VLOOKUP($B59,'Privacy Analyst Evaluation'!$A$46:$F$120,2,0),""))&amp;""</f>
        <v>Will the institution's data be stored on any devices (database servers, file servers, SAN, NAS, etc.) configured with non-RFC 1918/4193 (i.e., publicly routable) IP addresses?*</v>
      </c>
      <c r="D59" s="241" t="str">
        <f>IFERROR(VLOOKUP($B59,'Institution Evaluation'!$A$55:$F$345,3,0),IFERROR(VLOOKUP($B59,'Privacy Analyst Evaluation'!$A$46:$F$120,3,0),""))&amp;""</f>
        <v>N/A</v>
      </c>
      <c r="E59" s="241" t="str">
        <f>IFERROR(VLOOKUP($B59,'Institution Evaluation'!$A$55:$F$345,4,0),IFERROR(VLOOKUP($B59,'Privacy Analyst Evaluation'!$A$46:$F$120,4,0),""))&amp;""</f>
        <v>This question does not apply.</v>
      </c>
      <c r="F59" s="241" t="str">
        <f>IFERROR(VLOOKUP($B59,'Institution Evaluation'!$A$55:$F$345,6,0),IFERROR(VLOOKUP($B59,'Privacy Analyst Evaluation'!$A$46:$F$120,6,0),""))&amp;""</f>
        <v/>
      </c>
      <c r="G59" s="242"/>
      <c r="H59" s="241" t="str">
        <f>IFERROR(IF($H58+1&gt;'(backend scoring)'!$Q$335,"",$H58+1),"")</f>
        <v/>
      </c>
      <c r="I59" s="241" t="str">
        <f>_xlfn.XLOOKUP($H59,'(backend scoring)'!$S$2:$S$333,'(backend scoring)'!$A$2:$A$333,"")</f>
        <v/>
      </c>
      <c r="J59" s="241" t="str">
        <f>IFERROR(VLOOKUP($I59,'Institution Evaluation'!$A$55:$F$345,2,0),IFERROR(VLOOKUP($I59,'Privacy Analyst Evaluation'!$A$46:$F$120,2,0),""))</f>
        <v/>
      </c>
      <c r="K59" s="241" t="str">
        <f>IFERROR(VLOOKUP($I59,'Institution Evaluation'!$A$55:$F$345,3,0),IFERROR(VLOOKUP($I59,'Privacy Analyst Evaluation'!$A$46:$F$120,3,0),""))&amp;""</f>
        <v/>
      </c>
      <c r="L59" s="241" t="str">
        <f>IFERROR(VLOOKUP($I59,'Institution Evaluation'!$A$55:$F$345,4,0),IFERROR(VLOOKUP($I59,'Privacy Analyst Evaluation'!$A$46:$F$120,4,0),""))&amp;""</f>
        <v/>
      </c>
      <c r="M59" s="241" t="str">
        <f>IFERROR(VLOOKUP($I59,'Institution Evaluation'!$A$55:$F$345,6,0),IFERROR(VLOOKUP($I59,'Privacy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60" customHeight="1" x14ac:dyDescent="0.2">
      <c r="A60" s="241">
        <f>IFERROR(IF($A59+1&gt;'(backend scoring)'!$T$335,"",$A59+1),"")</f>
        <v>36</v>
      </c>
      <c r="B60" s="241" t="str">
        <f>_xlfn.XLOOKUP($A60,'(backend scoring)'!$V$2:$V$333,'(backend scoring)'!$A$2:$A$333,"")</f>
        <v>DATA-02</v>
      </c>
      <c r="C60" s="241" t="str">
        <f>IFERROR(VLOOKUP($B60,'Institution Evaluation'!$A$55:$F$345,2,0),IFERROR(VLOOKUP($B60,'Privacy Analyst Evaluation'!$A$46:$F$120,2,0),""))&amp;""</f>
        <v>Is the transport of sensitive data encrypted using security protocols/algorithms (e.g., system-to-client)?*</v>
      </c>
      <c r="D60" s="241" t="str">
        <f>IFERROR(VLOOKUP($B60,'Institution Evaluation'!$A$55:$F$345,3,0),IFERROR(VLOOKUP($B60,'Privacy Analyst Evaluation'!$A$46:$F$120,3,0),""))&amp;""</f>
        <v>N/A</v>
      </c>
      <c r="E60" s="241" t="str">
        <f>IFERROR(VLOOKUP($B60,'Institution Evaluation'!$A$55:$F$345,4,0),IFERROR(VLOOKUP($B60,'Privacy Analyst Evaluation'!$A$46:$F$120,4,0),""))&amp;""</f>
        <v>This question does not apply.</v>
      </c>
      <c r="F60" s="241" t="str">
        <f>IFERROR(VLOOKUP($B60,'Institution Evaluation'!$A$55:$F$345,6,0),IFERROR(VLOOKUP($B60,'Privacy Analyst Evaluation'!$A$46:$F$120,6,0),""))&amp;""</f>
        <v/>
      </c>
      <c r="G60" s="242"/>
      <c r="H60" s="241" t="str">
        <f>IFERROR(IF($H59+1&gt;'(backend scoring)'!$Q$335,"",$H59+1),"")</f>
        <v/>
      </c>
      <c r="I60" s="241" t="str">
        <f>_xlfn.XLOOKUP($H60,'(backend scoring)'!$S$2:$S$333,'(backend scoring)'!$A$2:$A$333,"")</f>
        <v/>
      </c>
      <c r="J60" s="241" t="str">
        <f>IFERROR(VLOOKUP($I60,'Institution Evaluation'!$A$55:$F$345,2,0),IFERROR(VLOOKUP($I60,'Privacy Analyst Evaluation'!$A$46:$F$120,2,0),""))</f>
        <v/>
      </c>
      <c r="K60" s="241" t="str">
        <f>IFERROR(VLOOKUP($I60,'Institution Evaluation'!$A$55:$F$345,3,0),IFERROR(VLOOKUP($I60,'Privacy Analyst Evaluation'!$A$46:$F$120,3,0),""))&amp;""</f>
        <v/>
      </c>
      <c r="L60" s="241" t="str">
        <f>IFERROR(VLOOKUP($I60,'Institution Evaluation'!$A$55:$F$345,4,0),IFERROR(VLOOKUP($I60,'Privacy Analyst Evaluation'!$A$46:$F$120,4,0),""))&amp;""</f>
        <v/>
      </c>
      <c r="M60" s="241" t="str">
        <f>IFERROR(VLOOKUP($I60,'Institution Evaluation'!$A$55:$F$345,6,0),IFERROR(VLOOKUP($I60,'Privacy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75" customHeight="1" x14ac:dyDescent="0.2">
      <c r="A61" s="241">
        <f>IFERROR(IF($A60+1&gt;'(backend scoring)'!$T$335,"",$A60+1),"")</f>
        <v>37</v>
      </c>
      <c r="B61" s="241" t="str">
        <f>_xlfn.XLOOKUP($A61,'(backend scoring)'!$V$2:$V$333,'(backend scoring)'!$A$2:$A$333,"")</f>
        <v>DATA-03</v>
      </c>
      <c r="C61" s="241" t="str">
        <f>IFERROR(VLOOKUP($B61,'Institution Evaluation'!$A$55:$F$345,2,0),IFERROR(VLOOKUP($B61,'Privacy Analyst Evaluation'!$A$46:$F$120,2,0),""))&amp;""</f>
        <v>Is the storage of sensitive data encrypted using security protocols/algorithms (e.g., disk encryption, at-rest, files, and within a running database)?*</v>
      </c>
      <c r="D61" s="241" t="str">
        <f>IFERROR(VLOOKUP($B61,'Institution Evaluation'!$A$55:$F$345,3,0),IFERROR(VLOOKUP($B61,'Privacy Analyst Evaluation'!$A$46:$F$120,3,0),""))&amp;""</f>
        <v>N/A</v>
      </c>
      <c r="E61" s="241" t="str">
        <f>IFERROR(VLOOKUP($B61,'Institution Evaluation'!$A$55:$F$345,4,0),IFERROR(VLOOKUP($B61,'Privacy Analyst Evaluation'!$A$46:$F$120,4,0),""))&amp;""</f>
        <v>This question does not apply.</v>
      </c>
      <c r="F61" s="241" t="str">
        <f>IFERROR(VLOOKUP($B61,'Institution Evaluation'!$A$55:$F$345,6,0),IFERROR(VLOOKUP($B61,'Privacy Analyst Evaluation'!$A$46:$F$120,6,0),""))&amp;""</f>
        <v/>
      </c>
      <c r="G61" s="242"/>
      <c r="H61" s="241" t="str">
        <f>IFERROR(IF($H60+1&gt;'(backend scoring)'!$Q$335,"",$H60+1),"")</f>
        <v/>
      </c>
      <c r="I61" s="241" t="str">
        <f>_xlfn.XLOOKUP($H61,'(backend scoring)'!$S$2:$S$333,'(backend scoring)'!$A$2:$A$333,"")</f>
        <v/>
      </c>
      <c r="J61" s="241" t="str">
        <f>IFERROR(VLOOKUP($I61,'Institution Evaluation'!$A$55:$F$345,2,0),IFERROR(VLOOKUP($I61,'Privacy Analyst Evaluation'!$A$46:$F$120,2,0),""))</f>
        <v/>
      </c>
      <c r="K61" s="241" t="str">
        <f>IFERROR(VLOOKUP($I61,'Institution Evaluation'!$A$55:$F$345,3,0),IFERROR(VLOOKUP($I61,'Privacy Analyst Evaluation'!$A$46:$F$120,3,0),""))&amp;""</f>
        <v/>
      </c>
      <c r="L61" s="241" t="str">
        <f>IFERROR(VLOOKUP($I61,'Institution Evaluation'!$A$55:$F$345,4,0),IFERROR(VLOOKUP($I61,'Privacy Analyst Evaluation'!$A$46:$F$120,4,0),""))&amp;""</f>
        <v/>
      </c>
      <c r="M61" s="241" t="str">
        <f>IFERROR(VLOOKUP($I61,'Institution Evaluation'!$A$55:$F$345,6,0),IFERROR(VLOOKUP($I61,'Privacy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75" customHeight="1" x14ac:dyDescent="0.2">
      <c r="A62" s="241">
        <f>IFERROR(IF($A61+1&gt;'(backend scoring)'!$T$335,"",$A61+1),"")</f>
        <v>38</v>
      </c>
      <c r="B62" s="241" t="str">
        <f>_xlfn.XLOOKUP($A62,'(backend scoring)'!$V$2:$V$333,'(backend scoring)'!$A$2:$A$333,"")</f>
        <v>DATA-04</v>
      </c>
      <c r="C62" s="241" t="str">
        <f>IFERROR(VLOOKUP($B62,'Institution Evaluation'!$A$55:$F$345,2,0),IFERROR(VLOOKUP($B62,'Privacy Analyst Evaluation'!$A$46:$F$120,2,0),""))&amp;""</f>
        <v>Do all cryptographic modules in use in your solution conform to the Federal Information Processing Standards (FIPS PUB 140-2 or 140-3)?*</v>
      </c>
      <c r="D62" s="241" t="str">
        <f>IFERROR(VLOOKUP($B62,'Institution Evaluation'!$A$55:$F$345,3,0),IFERROR(VLOOKUP($B62,'Privacy Analyst Evaluation'!$A$46:$F$120,3,0),""))&amp;""</f>
        <v>N/A</v>
      </c>
      <c r="E62" s="241" t="str">
        <f>IFERROR(VLOOKUP($B62,'Institution Evaluation'!$A$55:$F$345,4,0),IFERROR(VLOOKUP($B62,'Privacy Analyst Evaluation'!$A$46:$F$120,4,0),""))&amp;""</f>
        <v>This question does not apply.</v>
      </c>
      <c r="F62" s="241" t="str">
        <f>IFERROR(VLOOKUP($B62,'Institution Evaluation'!$A$55:$F$345,6,0),IFERROR(VLOOKUP($B62,'Privacy Analyst Evaluation'!$A$46:$F$120,6,0),""))&amp;""</f>
        <v/>
      </c>
      <c r="G62" s="242"/>
      <c r="H62" s="241" t="str">
        <f>IFERROR(IF($H61+1&gt;'(backend scoring)'!$Q$335,"",$H61+1),"")</f>
        <v/>
      </c>
      <c r="I62" s="241" t="str">
        <f>_xlfn.XLOOKUP($H62,'(backend scoring)'!$S$2:$S$333,'(backend scoring)'!$A$2:$A$333,"")</f>
        <v/>
      </c>
      <c r="J62" s="241" t="str">
        <f>IFERROR(VLOOKUP($I62,'Institution Evaluation'!$A$55:$F$345,2,0),IFERROR(VLOOKUP($I62,'Privacy Analyst Evaluation'!$A$46:$F$120,2,0),""))</f>
        <v/>
      </c>
      <c r="K62" s="241" t="str">
        <f>IFERROR(VLOOKUP($I62,'Institution Evaluation'!$A$55:$F$345,3,0),IFERROR(VLOOKUP($I62,'Privacy Analyst Evaluation'!$A$46:$F$120,3,0),""))&amp;""</f>
        <v/>
      </c>
      <c r="L62" s="241" t="str">
        <f>IFERROR(VLOOKUP($I62,'Institution Evaluation'!$A$55:$F$345,4,0),IFERROR(VLOOKUP($I62,'Privacy Analyst Evaluation'!$A$46:$F$120,4,0),""))&amp;""</f>
        <v/>
      </c>
      <c r="M62" s="241" t="str">
        <f>IFERROR(VLOOKUP($I62,'Institution Evaluation'!$A$55:$F$345,6,0),IFERROR(VLOOKUP($I62,'Privacy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60" customHeight="1" x14ac:dyDescent="0.2">
      <c r="A63" s="241">
        <f>IFERROR(IF($A62+1&gt;'(backend scoring)'!$T$335,"",$A62+1),"")</f>
        <v>39</v>
      </c>
      <c r="B63" s="241" t="str">
        <f>_xlfn.XLOOKUP($A63,'(backend scoring)'!$V$2:$V$333,'(backend scoring)'!$A$2:$A$333,"")</f>
        <v>DATA-05</v>
      </c>
      <c r="C63" s="241" t="str">
        <f>IFERROR(VLOOKUP($B63,'Institution Evaluation'!$A$55:$F$345,2,0),IFERROR(VLOOKUP($B63,'Privacy Analyst Evaluation'!$A$46:$F$120,2,0),""))&amp;""</f>
        <v>Will the institution's data be available within the system for a period of time at the completion of this contract?*</v>
      </c>
      <c r="D63" s="241" t="str">
        <f>IFERROR(VLOOKUP($B63,'Institution Evaluation'!$A$55:$F$345,3,0),IFERROR(VLOOKUP($B63,'Privacy Analyst Evaluation'!$A$46:$F$120,3,0),""))&amp;""</f>
        <v>N/A</v>
      </c>
      <c r="E63" s="241" t="str">
        <f>IFERROR(VLOOKUP($B63,'Institution Evaluation'!$A$55:$F$345,4,0),IFERROR(VLOOKUP($B63,'Privacy Analyst Evaluation'!$A$46:$F$120,4,0),""))&amp;""</f>
        <v>This question does not apply.</v>
      </c>
      <c r="F63" s="241" t="str">
        <f>IFERROR(VLOOKUP($B63,'Institution Evaluation'!$A$55:$F$345,6,0),IFERROR(VLOOKUP($B63,'Privacy Analyst Evaluation'!$A$46:$F$120,6,0),""))&amp;""</f>
        <v/>
      </c>
      <c r="G63" s="242"/>
      <c r="H63" s="241" t="str">
        <f>IFERROR(IF($H62+1&gt;'(backend scoring)'!$Q$335,"",$H62+1),"")</f>
        <v/>
      </c>
      <c r="I63" s="241" t="str">
        <f>_xlfn.XLOOKUP($H63,'(backend scoring)'!$S$2:$S$333,'(backend scoring)'!$A$2:$A$333,"")</f>
        <v/>
      </c>
      <c r="J63" s="241" t="str">
        <f>IFERROR(VLOOKUP($I63,'Institution Evaluation'!$A$55:$F$345,2,0),IFERROR(VLOOKUP($I63,'Privacy Analyst Evaluation'!$A$46:$F$120,2,0),""))</f>
        <v/>
      </c>
      <c r="K63" s="241" t="str">
        <f>IFERROR(VLOOKUP($I63,'Institution Evaluation'!$A$55:$F$345,3,0),IFERROR(VLOOKUP($I63,'Privacy Analyst Evaluation'!$A$46:$F$120,3,0),""))&amp;""</f>
        <v/>
      </c>
      <c r="L63" s="241" t="str">
        <f>IFERROR(VLOOKUP($I63,'Institution Evaluation'!$A$55:$F$345,4,0),IFERROR(VLOOKUP($I63,'Privacy Analyst Evaluation'!$A$46:$F$120,4,0),""))&amp;""</f>
        <v/>
      </c>
      <c r="M63" s="241" t="str">
        <f>IFERROR(VLOOKUP($I63,'Institution Evaluation'!$A$55:$F$345,6,0),IFERROR(VLOOKUP($I63,'Privacy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75" customHeight="1" x14ac:dyDescent="0.2">
      <c r="A64" s="241">
        <f>IFERROR(IF($A63+1&gt;'(backend scoring)'!$T$335,"",$A63+1),"")</f>
        <v>40</v>
      </c>
      <c r="B64" s="241" t="str">
        <f>_xlfn.XLOOKUP($A64,'(backend scoring)'!$V$2:$V$333,'(backend scoring)'!$A$2:$A$333,"")</f>
        <v>DATA-06</v>
      </c>
      <c r="C64" s="241" t="str">
        <f>IFERROR(VLOOKUP($B64,'Institution Evaluation'!$A$55:$F$345,2,0),IFERROR(VLOOKUP($B64,'Privacy Analyst Evaluation'!$A$46:$F$120,2,0),""))&amp;""</f>
        <v>Are ownership rights to all data, inputs, outputs, and metadata retained even through a provider acquisition or bankruptcy event?*</v>
      </c>
      <c r="D64" s="241" t="str">
        <f>IFERROR(VLOOKUP($B64,'Institution Evaluation'!$A$55:$F$345,3,0),IFERROR(VLOOKUP($B64,'Privacy Analyst Evaluation'!$A$46:$F$120,3,0),""))&amp;""</f>
        <v>N/A</v>
      </c>
      <c r="E64" s="241" t="str">
        <f>IFERROR(VLOOKUP($B64,'Institution Evaluation'!$A$55:$F$345,4,0),IFERROR(VLOOKUP($B64,'Privacy Analyst Evaluation'!$A$46:$F$120,4,0),""))&amp;""</f>
        <v>This question does not apply.</v>
      </c>
      <c r="F64" s="241" t="str">
        <f>IFERROR(VLOOKUP($B64,'Institution Evaluation'!$A$55:$F$345,6,0),IFERROR(VLOOKUP($B64,'Privacy Analyst Evaluation'!$A$46:$F$120,6,0),""))&amp;""</f>
        <v/>
      </c>
      <c r="G64" s="242"/>
      <c r="H64" s="241" t="str">
        <f>IFERROR(IF($H63+1&gt;'(backend scoring)'!$Q$335,"",$H63+1),"")</f>
        <v/>
      </c>
      <c r="I64" s="241" t="str">
        <f>_xlfn.XLOOKUP($H64,'(backend scoring)'!$S$2:$S$333,'(backend scoring)'!$A$2:$A$333,"")</f>
        <v/>
      </c>
      <c r="J64" s="241" t="str">
        <f>IFERROR(VLOOKUP($I64,'Institution Evaluation'!$A$55:$F$345,2,0),IFERROR(VLOOKUP($I64,'Privacy Analyst Evaluation'!$A$46:$F$120,2,0),""))</f>
        <v/>
      </c>
      <c r="K64" s="241" t="str">
        <f>IFERROR(VLOOKUP($I64,'Institution Evaluation'!$A$55:$F$345,3,0),IFERROR(VLOOKUP($I64,'Privacy Analyst Evaluation'!$A$46:$F$120,3,0),""))&amp;""</f>
        <v/>
      </c>
      <c r="L64" s="241" t="str">
        <f>IFERROR(VLOOKUP($I64,'Institution Evaluation'!$A$55:$F$345,4,0),IFERROR(VLOOKUP($I64,'Privacy Analyst Evaluation'!$A$46:$F$120,4,0),""))&amp;""</f>
        <v/>
      </c>
      <c r="M64" s="241" t="str">
        <f>IFERROR(VLOOKUP($I64,'Institution Evaluation'!$A$55:$F$345,6,0),IFERROR(VLOOKUP($I64,'Privacy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customHeight="1" x14ac:dyDescent="0.2">
      <c r="A65" s="241">
        <f>IFERROR(IF($A64+1&gt;'(backend scoring)'!$T$335,"",$A64+1),"")</f>
        <v>41</v>
      </c>
      <c r="B65" s="241" t="str">
        <f>_xlfn.XLOOKUP($A65,'(backend scoring)'!$V$2:$V$333,'(backend scoring)'!$A$2:$A$333,"")</f>
        <v>DATA-07</v>
      </c>
      <c r="C65" s="241" t="str">
        <f>IFERROR(VLOOKUP($B65,'Institution Evaluation'!$A$55:$F$345,2,0),IFERROR(VLOOKUP($B65,'Privacy Analyst Evaluation'!$A$46:$F$120,2,0),""))&amp;""</f>
        <v>Do backups containing the institution's data ever leave the institution's data zone either physically or via network routing?*</v>
      </c>
      <c r="D65" s="241" t="str">
        <f>IFERROR(VLOOKUP($B65,'Institution Evaluation'!$A$55:$F$345,3,0),IFERROR(VLOOKUP($B65,'Privacy Analyst Evaluation'!$A$46:$F$120,3,0),""))&amp;""</f>
        <v>N/A</v>
      </c>
      <c r="E65" s="241" t="str">
        <f>IFERROR(VLOOKUP($B65,'Institution Evaluation'!$A$55:$F$345,4,0),IFERROR(VLOOKUP($B65,'Privacy Analyst Evaluation'!$A$46:$F$120,4,0),""))&amp;""</f>
        <v>This question does not apply.</v>
      </c>
      <c r="F65" s="241" t="str">
        <f>IFERROR(VLOOKUP($B65,'Institution Evaluation'!$A$55:$F$345,6,0),IFERROR(VLOOKUP($B65,'Privacy Analyst Evaluation'!$A$46:$F$120,6,0),""))&amp;""</f>
        <v/>
      </c>
      <c r="G65" s="242"/>
      <c r="H65" s="241" t="str">
        <f>IFERROR(IF($H64+1&gt;'(backend scoring)'!$Q$335,"",$H64+1),"")</f>
        <v/>
      </c>
      <c r="I65" s="241" t="str">
        <f>_xlfn.XLOOKUP($H65,'(backend scoring)'!$S$2:$S$333,'(backend scoring)'!$A$2:$A$333,"")</f>
        <v/>
      </c>
      <c r="J65" s="241" t="str">
        <f>IFERROR(VLOOKUP($I65,'Institution Evaluation'!$A$55:$F$345,2,0),IFERROR(VLOOKUP($I65,'Privacy Analyst Evaluation'!$A$46:$F$120,2,0),""))</f>
        <v/>
      </c>
      <c r="K65" s="241" t="str">
        <f>IFERROR(VLOOKUP($I65,'Institution Evaluation'!$A$55:$F$345,3,0),IFERROR(VLOOKUP($I65,'Privacy Analyst Evaluation'!$A$46:$F$120,3,0),""))&amp;""</f>
        <v/>
      </c>
      <c r="L65" s="241" t="str">
        <f>IFERROR(VLOOKUP($I65,'Institution Evaluation'!$A$55:$F$345,4,0),IFERROR(VLOOKUP($I65,'Privacy Analyst Evaluation'!$A$46:$F$120,4,0),""))&amp;""</f>
        <v/>
      </c>
      <c r="M65" s="241" t="str">
        <f>IFERROR(VLOOKUP($I65,'Institution Evaluation'!$A$55:$F$345,6,0),IFERROR(VLOOKUP($I65,'Privacy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customHeight="1" x14ac:dyDescent="0.2">
      <c r="A66" s="241">
        <f>IFERROR(IF($A65+1&gt;'(backend scoring)'!$T$335,"",$A65+1),"")</f>
        <v>42</v>
      </c>
      <c r="B66" s="241" t="str">
        <f>_xlfn.XLOOKUP($A66,'(backend scoring)'!$V$2:$V$333,'(backend scoring)'!$A$2:$A$333,"")</f>
        <v>DATA-08</v>
      </c>
      <c r="C66" s="241" t="str">
        <f>IFERROR(VLOOKUP($B66,'Institution Evaluation'!$A$55:$F$345,2,0),IFERROR(VLOOKUP($B66,'Privacy Analyst Evaluation'!$A$46:$F$120,2,0),""))&amp;""</f>
        <v>Is media used for long-term retention of business data and archival purposes stored in a secure, environmentally protected area?*</v>
      </c>
      <c r="D66" s="241" t="str">
        <f>IFERROR(VLOOKUP($B66,'Institution Evaluation'!$A$55:$F$345,3,0),IFERROR(VLOOKUP($B66,'Privacy Analyst Evaluation'!$A$46:$F$120,3,0),""))&amp;""</f>
        <v>N/A</v>
      </c>
      <c r="E66" s="241" t="str">
        <f>IFERROR(VLOOKUP($B66,'Institution Evaluation'!$A$55:$F$345,4,0),IFERROR(VLOOKUP($B66,'Privacy Analyst Evaluation'!$A$46:$F$120,4,0),""))&amp;""</f>
        <v>This question does not apply.</v>
      </c>
      <c r="F66" s="241" t="str">
        <f>IFERROR(VLOOKUP($B66,'Institution Evaluation'!$A$55:$F$345,6,0),IFERROR(VLOOKUP($B66,'Privacy Analyst Evaluation'!$A$46:$F$120,6,0),""))&amp;""</f>
        <v/>
      </c>
      <c r="G66" s="242"/>
      <c r="H66" s="241" t="str">
        <f>IFERROR(IF($H65+1&gt;'(backend scoring)'!$Q$335,"",$H65+1),"")</f>
        <v/>
      </c>
      <c r="I66" s="241" t="str">
        <f>_xlfn.XLOOKUP($H66,'(backend scoring)'!$S$2:$S$333,'(backend scoring)'!$A$2:$A$333,"")</f>
        <v/>
      </c>
      <c r="J66" s="241" t="str">
        <f>IFERROR(VLOOKUP($I66,'Institution Evaluation'!$A$55:$F$345,2,0),IFERROR(VLOOKUP($I66,'Privacy Analyst Evaluation'!$A$46:$F$120,2,0),""))</f>
        <v/>
      </c>
      <c r="K66" s="241" t="str">
        <f>IFERROR(VLOOKUP($I66,'Institution Evaluation'!$A$55:$F$345,3,0),IFERROR(VLOOKUP($I66,'Privacy Analyst Evaluation'!$A$46:$F$120,3,0),""))&amp;""</f>
        <v/>
      </c>
      <c r="L66" s="241" t="str">
        <f>IFERROR(VLOOKUP($I66,'Institution Evaluation'!$A$55:$F$345,4,0),IFERROR(VLOOKUP($I66,'Privacy Analyst Evaluation'!$A$46:$F$120,4,0),""))&amp;""</f>
        <v/>
      </c>
      <c r="M66" s="241" t="str">
        <f>IFERROR(VLOOKUP($I66,'Institution Evaluation'!$A$55:$F$345,6,0),IFERROR(VLOOKUP($I66,'Privacy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customHeight="1" x14ac:dyDescent="0.2">
      <c r="A67" s="241">
        <f>IFERROR(IF($A66+1&gt;'(backend scoring)'!$T$335,"",$A66+1),"")</f>
        <v>43</v>
      </c>
      <c r="B67" s="241" t="str">
        <f>_xlfn.XLOOKUP($A67,'(backend scoring)'!$V$2:$V$333,'(backend scoring)'!$A$2:$A$333,"")</f>
        <v>DCTR-06</v>
      </c>
      <c r="C67" s="241" t="str">
        <f>IFERROR(VLOOKUP($B67,'Institution Evaluation'!$A$55:$F$345,2,0),IFERROR(VLOOKUP($B67,'Privacy Analyst Evaluation'!$A$46:$F$120,2,0),""))&amp;""</f>
        <v>Does a physical barrier fully enclose the physical space, preventing unauthorized physical contact with any of your devices?*</v>
      </c>
      <c r="D67" s="241" t="str">
        <f>IFERROR(VLOOKUP($B67,'Institution Evaluation'!$A$55:$F$345,3,0),IFERROR(VLOOKUP($B67,'Privacy Analyst Evaluation'!$A$46:$F$120,3,0),""))&amp;""</f>
        <v>N/A</v>
      </c>
      <c r="E67" s="241" t="str">
        <f>IFERROR(VLOOKUP($B67,'Institution Evaluation'!$A$55:$F$345,4,0),IFERROR(VLOOKUP($B67,'Privacy Analyst Evaluation'!$A$46:$F$120,4,0),""))&amp;""</f>
        <v/>
      </c>
      <c r="F67" s="241" t="str">
        <f>IFERROR(VLOOKUP($B67,'Institution Evaluation'!$A$55:$F$345,6,0),IFERROR(VLOOKUP($B67,'Privacy Analyst Evaluation'!$A$46:$F$120,6,0),""))&amp;""</f>
        <v/>
      </c>
      <c r="G67" s="242"/>
      <c r="H67" s="241" t="str">
        <f>IFERROR(IF($H66+1&gt;'(backend scoring)'!$Q$335,"",$H66+1),"")</f>
        <v/>
      </c>
      <c r="I67" s="241" t="str">
        <f>_xlfn.XLOOKUP($H67,'(backend scoring)'!$S$2:$S$333,'(backend scoring)'!$A$2:$A$333,"")</f>
        <v/>
      </c>
      <c r="J67" s="241" t="str">
        <f>IFERROR(VLOOKUP($I67,'Institution Evaluation'!$A$55:$F$345,2,0),IFERROR(VLOOKUP($I67,'Privacy Analyst Evaluation'!$A$46:$F$120,2,0),""))</f>
        <v/>
      </c>
      <c r="K67" s="241" t="str">
        <f>IFERROR(VLOOKUP($I67,'Institution Evaluation'!$A$55:$F$345,3,0),IFERROR(VLOOKUP($I67,'Privacy Analyst Evaluation'!$A$46:$F$120,3,0),""))&amp;""</f>
        <v/>
      </c>
      <c r="L67" s="241" t="str">
        <f>IFERROR(VLOOKUP($I67,'Institution Evaluation'!$A$55:$F$345,4,0),IFERROR(VLOOKUP($I67,'Privacy Analyst Evaluation'!$A$46:$F$120,4,0),""))&amp;""</f>
        <v/>
      </c>
      <c r="M67" s="241" t="str">
        <f>IFERROR(VLOOKUP($I67,'Institution Evaluation'!$A$55:$F$345,6,0),IFERROR(VLOOKUP($I67,'Privacy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30" customHeight="1" x14ac:dyDescent="0.2">
      <c r="A68" s="241">
        <f>IFERROR(IF($A67+1&gt;'(backend scoring)'!$T$335,"",$A67+1),"")</f>
        <v>44</v>
      </c>
      <c r="B68" s="241" t="str">
        <f>_xlfn.XLOOKUP($A68,'(backend scoring)'!$V$2:$V$333,'(backend scoring)'!$A$2:$A$333,"")</f>
        <v>DCTR-10</v>
      </c>
      <c r="C68" s="241" t="str">
        <f>IFERROR(VLOOKUP($B68,'Institution Evaluation'!$A$55:$F$345,2,0),IFERROR(VLOOKUP($B68,'Privacy Analyst Evaluation'!$A$46:$F$120,2,0),""))&amp;""</f>
        <v>Are redundant power strategies tested?*</v>
      </c>
      <c r="D68" s="241" t="str">
        <f>IFERROR(VLOOKUP($B68,'Institution Evaluation'!$A$55:$F$345,3,0),IFERROR(VLOOKUP($B68,'Privacy Analyst Evaluation'!$A$46:$F$120,3,0),""))&amp;""</f>
        <v>N/A</v>
      </c>
      <c r="E68" s="241" t="str">
        <f>IFERROR(VLOOKUP($B68,'Institution Evaluation'!$A$55:$F$345,4,0),IFERROR(VLOOKUP($B68,'Privacy Analyst Evaluation'!$A$46:$F$120,4,0),""))&amp;""</f>
        <v/>
      </c>
      <c r="F68" s="241" t="str">
        <f>IFERROR(VLOOKUP($B68,'Institution Evaluation'!$A$55:$F$345,6,0),IFERROR(VLOOKUP($B68,'Privacy Analyst Evaluation'!$A$46:$F$120,6,0),""))&amp;""</f>
        <v/>
      </c>
      <c r="G68" s="242"/>
      <c r="H68" s="241" t="str">
        <f>IFERROR(IF($H67+1&gt;'(backend scoring)'!$Q$335,"",$H67+1),"")</f>
        <v/>
      </c>
      <c r="I68" s="241" t="str">
        <f>_xlfn.XLOOKUP($H68,'(backend scoring)'!$S$2:$S$333,'(backend scoring)'!$A$2:$A$333,"")</f>
        <v/>
      </c>
      <c r="J68" s="241" t="str">
        <f>IFERROR(VLOOKUP($I68,'Institution Evaluation'!$A$55:$F$345,2,0),IFERROR(VLOOKUP($I68,'Privacy Analyst Evaluation'!$A$46:$F$120,2,0),""))</f>
        <v/>
      </c>
      <c r="K68" s="241" t="str">
        <f>IFERROR(VLOOKUP($I68,'Institution Evaluation'!$A$55:$F$345,3,0),IFERROR(VLOOKUP($I68,'Privacy Analyst Evaluation'!$A$46:$F$120,3,0),""))&amp;""</f>
        <v/>
      </c>
      <c r="L68" s="241" t="str">
        <f>IFERROR(VLOOKUP($I68,'Institution Evaluation'!$A$55:$F$345,4,0),IFERROR(VLOOKUP($I68,'Privacy Analyst Evaluation'!$A$46:$F$120,4,0),""))&amp;""</f>
        <v/>
      </c>
      <c r="M68" s="241" t="str">
        <f>IFERROR(VLOOKUP($I68,'Institution Evaluation'!$A$55:$F$345,6,0),IFERROR(VLOOKUP($I68,'Privacy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0" customHeight="1" x14ac:dyDescent="0.2">
      <c r="A69" s="241">
        <f>IFERROR(IF($A68+1&gt;'(backend scoring)'!$T$335,"",$A68+1),"")</f>
        <v>45</v>
      </c>
      <c r="B69" s="241" t="str">
        <f>_xlfn.XLOOKUP($A69,'(backend scoring)'!$V$2:$V$333,'(backend scoring)'!$A$2:$A$333,"")</f>
        <v>FIDP-01</v>
      </c>
      <c r="C69" s="241" t="str">
        <f>IFERROR(VLOOKUP($B69,'Institution Evaluation'!$A$55:$F$345,2,0),IFERROR(VLOOKUP($B69,'Privacy Analyst Evaluation'!$A$46:$F$120,2,0),""))&amp;""</f>
        <v>Are you utilizing a stateful packet inspection (SPI) firewall?*</v>
      </c>
      <c r="D69" s="241" t="str">
        <f>IFERROR(VLOOKUP($B69,'Institution Evaluation'!$A$55:$F$345,3,0),IFERROR(VLOOKUP($B69,'Privacy Analyst Evaluation'!$A$46:$F$120,3,0),""))&amp;""</f>
        <v>N/A</v>
      </c>
      <c r="E69" s="241" t="str">
        <f>IFERROR(VLOOKUP($B69,'Institution Evaluation'!$A$55:$F$345,4,0),IFERROR(VLOOKUP($B69,'Privacy Analyst Evaluation'!$A$46:$F$120,4,0),""))&amp;""</f>
        <v>This question does not apply.</v>
      </c>
      <c r="F69" s="241" t="str">
        <f>IFERROR(VLOOKUP($B69,'Institution Evaluation'!$A$55:$F$345,6,0),IFERROR(VLOOKUP($B69,'Privacy Analyst Evaluation'!$A$46:$F$120,6,0),""))&amp;""</f>
        <v/>
      </c>
      <c r="G69" s="242"/>
      <c r="H69" s="241" t="str">
        <f>IFERROR(IF($H68+1&gt;'(backend scoring)'!$Q$335,"",$H68+1),"")</f>
        <v/>
      </c>
      <c r="I69" s="241" t="str">
        <f>_xlfn.XLOOKUP($H69,'(backend scoring)'!$S$2:$S$333,'(backend scoring)'!$A$2:$A$333,"")</f>
        <v/>
      </c>
      <c r="J69" s="241" t="str">
        <f>IFERROR(VLOOKUP($I69,'Institution Evaluation'!$A$55:$F$345,2,0),IFERROR(VLOOKUP($I69,'Privacy Analyst Evaluation'!$A$46:$F$120,2,0),""))</f>
        <v/>
      </c>
      <c r="K69" s="241" t="str">
        <f>IFERROR(VLOOKUP($I69,'Institution Evaluation'!$A$55:$F$345,3,0),IFERROR(VLOOKUP($I69,'Privacy Analyst Evaluation'!$A$46:$F$120,3,0),""))&amp;""</f>
        <v/>
      </c>
      <c r="L69" s="241" t="str">
        <f>IFERROR(VLOOKUP($I69,'Institution Evaluation'!$A$55:$F$345,4,0),IFERROR(VLOOKUP($I69,'Privacy Analyst Evaluation'!$A$46:$F$120,4,0),""))&amp;""</f>
        <v/>
      </c>
      <c r="M69" s="241" t="str">
        <f>IFERROR(VLOOKUP($I69,'Institution Evaluation'!$A$55:$F$345,6,0),IFERROR(VLOOKUP($I69,'Privacy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customHeight="1" x14ac:dyDescent="0.2">
      <c r="A70" s="241">
        <f>IFERROR(IF($A69+1&gt;'(backend scoring)'!$T$335,"",$A69+1),"")</f>
        <v>46</v>
      </c>
      <c r="B70" s="241" t="str">
        <f>_xlfn.XLOOKUP($A70,'(backend scoring)'!$V$2:$V$333,'(backend scoring)'!$A$2:$A$333,"")</f>
        <v>FIDP-02</v>
      </c>
      <c r="C70" s="241" t="str">
        <f>IFERROR(VLOOKUP($B70,'Institution Evaluation'!$A$55:$F$345,2,0),IFERROR(VLOOKUP($B70,'Privacy Analyst Evaluation'!$A$46:$F$120,2,0),""))&amp;""</f>
        <v>Do you have a documented policy for firewall change requests?*</v>
      </c>
      <c r="D70" s="241" t="str">
        <f>IFERROR(VLOOKUP($B70,'Institution Evaluation'!$A$55:$F$345,3,0),IFERROR(VLOOKUP($B70,'Privacy Analyst Evaluation'!$A$46:$F$120,3,0),""))&amp;""</f>
        <v>N/A</v>
      </c>
      <c r="E70" s="241" t="str">
        <f>IFERROR(VLOOKUP($B70,'Institution Evaluation'!$A$55:$F$345,4,0),IFERROR(VLOOKUP($B70,'Privacy Analyst Evaluation'!$A$46:$F$120,4,0),""))&amp;""</f>
        <v>This question does not apply.</v>
      </c>
      <c r="F70" s="241" t="str">
        <f>IFERROR(VLOOKUP($B70,'Institution Evaluation'!$A$55:$F$345,6,0),IFERROR(VLOOKUP($B70,'Privacy Analyst Evaluation'!$A$46:$F$120,6,0),""))&amp;""</f>
        <v/>
      </c>
      <c r="G70" s="242"/>
      <c r="H70" s="241" t="str">
        <f>IFERROR(IF($H69+1&gt;'(backend scoring)'!$Q$335,"",$H69+1),"")</f>
        <v/>
      </c>
      <c r="I70" s="241" t="str">
        <f>_xlfn.XLOOKUP($H70,'(backend scoring)'!$S$2:$S$333,'(backend scoring)'!$A$2:$A$333,"")</f>
        <v/>
      </c>
      <c r="J70" s="241" t="str">
        <f>IFERROR(VLOOKUP($I70,'Institution Evaluation'!$A$55:$F$345,2,0),IFERROR(VLOOKUP($I70,'Privacy Analyst Evaluation'!$A$46:$F$120,2,0),""))</f>
        <v/>
      </c>
      <c r="K70" s="241" t="str">
        <f>IFERROR(VLOOKUP($I70,'Institution Evaluation'!$A$55:$F$345,3,0),IFERROR(VLOOKUP($I70,'Privacy Analyst Evaluation'!$A$46:$F$120,3,0),""))&amp;""</f>
        <v/>
      </c>
      <c r="L70" s="241" t="str">
        <f>IFERROR(VLOOKUP($I70,'Institution Evaluation'!$A$55:$F$345,4,0),IFERROR(VLOOKUP($I70,'Privacy Analyst Evaluation'!$A$46:$F$120,4,0),""))&amp;""</f>
        <v/>
      </c>
      <c r="M70" s="241" t="str">
        <f>IFERROR(VLOOKUP($I70,'Institution Evaluation'!$A$55:$F$345,6,0),IFERROR(VLOOKUP($I70,'Privacy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customHeight="1" x14ac:dyDescent="0.2">
      <c r="A71" s="241">
        <f>IFERROR(IF($A70+1&gt;'(backend scoring)'!$T$335,"",$A70+1),"")</f>
        <v>47</v>
      </c>
      <c r="B71" s="241" t="str">
        <f>_xlfn.XLOOKUP($A71,'(backend scoring)'!$V$2:$V$333,'(backend scoring)'!$A$2:$A$333,"")</f>
        <v>FIDP-03</v>
      </c>
      <c r="C71" s="241" t="str">
        <f>IFERROR(VLOOKUP($B71,'Institution Evaluation'!$A$55:$F$345,2,0),IFERROR(VLOOKUP($B71,'Privacy Analyst Evaluation'!$A$46:$F$120,2,0),""))&amp;""</f>
        <v>Have you implemented an intrusion detection system (network-based)?*</v>
      </c>
      <c r="D71" s="241" t="str">
        <f>IFERROR(VLOOKUP($B71,'Institution Evaluation'!$A$55:$F$345,3,0),IFERROR(VLOOKUP($B71,'Privacy Analyst Evaluation'!$A$46:$F$120,3,0),""))&amp;""</f>
        <v>N/A</v>
      </c>
      <c r="E71" s="241" t="str">
        <f>IFERROR(VLOOKUP($B71,'Institution Evaluation'!$A$55:$F$345,4,0),IFERROR(VLOOKUP($B71,'Privacy Analyst Evaluation'!$A$46:$F$120,4,0),""))&amp;""</f>
        <v>This question does not apply.</v>
      </c>
      <c r="F71" s="241" t="str">
        <f>IFERROR(VLOOKUP($B71,'Institution Evaluation'!$A$55:$F$345,6,0),IFERROR(VLOOKUP($B71,'Privacy Analyst Evaluation'!$A$46:$F$120,6,0),""))&amp;""</f>
        <v/>
      </c>
      <c r="G71" s="242"/>
      <c r="H71" s="241" t="str">
        <f>IFERROR(IF($H70+1&gt;'(backend scoring)'!$Q$335,"",$H70+1),"")</f>
        <v/>
      </c>
      <c r="I71" s="241" t="str">
        <f>_xlfn.XLOOKUP($H71,'(backend scoring)'!$S$2:$S$333,'(backend scoring)'!$A$2:$A$333,"")</f>
        <v/>
      </c>
      <c r="J71" s="241" t="str">
        <f>IFERROR(VLOOKUP($I71,'Institution Evaluation'!$A$55:$F$345,2,0),IFERROR(VLOOKUP($I71,'Privacy Analyst Evaluation'!$A$46:$F$120,2,0),""))</f>
        <v/>
      </c>
      <c r="K71" s="241" t="str">
        <f>IFERROR(VLOOKUP($I71,'Institution Evaluation'!$A$55:$F$345,3,0),IFERROR(VLOOKUP($I71,'Privacy Analyst Evaluation'!$A$46:$F$120,3,0),""))&amp;""</f>
        <v/>
      </c>
      <c r="L71" s="241" t="str">
        <f>IFERROR(VLOOKUP($I71,'Institution Evaluation'!$A$55:$F$345,4,0),IFERROR(VLOOKUP($I71,'Privacy Analyst Evaluation'!$A$46:$F$120,4,0),""))&amp;""</f>
        <v/>
      </c>
      <c r="M71" s="241" t="str">
        <f>IFERROR(VLOOKUP($I71,'Institution Evaluation'!$A$55:$F$345,6,0),IFERROR(VLOOKUP($I71,'Privacy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30" customHeight="1" x14ac:dyDescent="0.2">
      <c r="A72" s="241">
        <f>IFERROR(IF($A71+1&gt;'(backend scoring)'!$T$335,"",$A71+1),"")</f>
        <v>48</v>
      </c>
      <c r="B72" s="241" t="str">
        <f>_xlfn.XLOOKUP($A72,'(backend scoring)'!$V$2:$V$333,'(backend scoring)'!$A$2:$A$333,"")</f>
        <v>FIDP-04</v>
      </c>
      <c r="C72" s="241" t="str">
        <f>IFERROR(VLOOKUP($B72,'Institution Evaluation'!$A$55:$F$345,2,0),IFERROR(VLOOKUP($B72,'Privacy Analyst Evaluation'!$A$46:$F$120,2,0),""))&amp;""</f>
        <v>Do you employ host-based intrusion detection?*</v>
      </c>
      <c r="D72" s="241" t="str">
        <f>IFERROR(VLOOKUP($B72,'Institution Evaluation'!$A$55:$F$345,3,0),IFERROR(VLOOKUP($B72,'Privacy Analyst Evaluation'!$A$46:$F$120,3,0),""))&amp;""</f>
        <v>N/A</v>
      </c>
      <c r="E72" s="241" t="str">
        <f>IFERROR(VLOOKUP($B72,'Institution Evaluation'!$A$55:$F$345,4,0),IFERROR(VLOOKUP($B72,'Privacy Analyst Evaluation'!$A$46:$F$120,4,0),""))&amp;""</f>
        <v>This question does not apply.</v>
      </c>
      <c r="F72" s="241" t="str">
        <f>IFERROR(VLOOKUP($B72,'Institution Evaluation'!$A$55:$F$345,6,0),IFERROR(VLOOKUP($B72,'Privacy Analyst Evaluation'!$A$46:$F$120,6,0),""))&amp;""</f>
        <v/>
      </c>
      <c r="G72" s="242"/>
      <c r="H72" s="241" t="str">
        <f>IFERROR(IF($H71+1&gt;'(backend scoring)'!$Q$335,"",$H71+1),"")</f>
        <v/>
      </c>
      <c r="I72" s="241" t="str">
        <f>_xlfn.XLOOKUP($H72,'(backend scoring)'!$S$2:$S$333,'(backend scoring)'!$A$2:$A$333,"")</f>
        <v/>
      </c>
      <c r="J72" s="241" t="str">
        <f>IFERROR(VLOOKUP($I72,'Institution Evaluation'!$A$55:$F$345,2,0),IFERROR(VLOOKUP($I72,'Privacy Analyst Evaluation'!$A$46:$F$120,2,0),""))</f>
        <v/>
      </c>
      <c r="K72" s="241" t="str">
        <f>IFERROR(VLOOKUP($I72,'Institution Evaluation'!$A$55:$F$345,3,0),IFERROR(VLOOKUP($I72,'Privacy Analyst Evaluation'!$A$46:$F$120,3,0),""))&amp;""</f>
        <v/>
      </c>
      <c r="L72" s="241" t="str">
        <f>IFERROR(VLOOKUP($I72,'Institution Evaluation'!$A$55:$F$345,4,0),IFERROR(VLOOKUP($I72,'Privacy Analyst Evaluation'!$A$46:$F$120,4,0),""))&amp;""</f>
        <v/>
      </c>
      <c r="M72" s="241" t="str">
        <f>IFERROR(VLOOKUP($I72,'Institution Evaluation'!$A$55:$F$345,6,0),IFERROR(VLOOKUP($I72,'Privacy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45" customHeight="1" x14ac:dyDescent="0.2">
      <c r="A73" s="241">
        <f>IFERROR(IF($A72+1&gt;'(backend scoring)'!$T$335,"",$A72+1),"")</f>
        <v>49</v>
      </c>
      <c r="B73" s="241" t="str">
        <f>_xlfn.XLOOKUP($A73,'(backend scoring)'!$V$2:$V$333,'(backend scoring)'!$A$2:$A$333,"")</f>
        <v>FIDP-05</v>
      </c>
      <c r="C73" s="241" t="str">
        <f>IFERROR(VLOOKUP($B73,'Institution Evaluation'!$A$55:$F$345,2,0),IFERROR(VLOOKUP($B73,'Privacy Analyst Evaluation'!$A$46:$F$120,2,0),""))&amp;""</f>
        <v>Are audit logs available for all changes to the network, firewall, IDS, and IPS systems?*</v>
      </c>
      <c r="D73" s="241" t="str">
        <f>IFERROR(VLOOKUP($B73,'Institution Evaluation'!$A$55:$F$345,3,0),IFERROR(VLOOKUP($B73,'Privacy Analyst Evaluation'!$A$46:$F$120,3,0),""))&amp;""</f>
        <v>N/A</v>
      </c>
      <c r="E73" s="241" t="str">
        <f>IFERROR(VLOOKUP($B73,'Institution Evaluation'!$A$55:$F$345,4,0),IFERROR(VLOOKUP($B73,'Privacy Analyst Evaluation'!$A$46:$F$120,4,0),""))&amp;""</f>
        <v>This question does not apply.</v>
      </c>
      <c r="F73" s="241" t="str">
        <f>IFERROR(VLOOKUP($B73,'Institution Evaluation'!$A$55:$F$345,6,0),IFERROR(VLOOKUP($B73,'Privacy Analyst Evaluation'!$A$46:$F$120,6,0),""))&amp;""</f>
        <v/>
      </c>
      <c r="G73" s="242"/>
      <c r="H73" s="241" t="str">
        <f>IFERROR(IF($H72+1&gt;'(backend scoring)'!$Q$335,"",$H72+1),"")</f>
        <v/>
      </c>
      <c r="I73" s="241" t="str">
        <f>_xlfn.XLOOKUP($H73,'(backend scoring)'!$S$2:$S$333,'(backend scoring)'!$A$2:$A$333,"")</f>
        <v/>
      </c>
      <c r="J73" s="241" t="str">
        <f>IFERROR(VLOOKUP($I73,'Institution Evaluation'!$A$55:$F$345,2,0),IFERROR(VLOOKUP($I73,'Privacy Analyst Evaluation'!$A$46:$F$120,2,0),""))</f>
        <v/>
      </c>
      <c r="K73" s="241" t="str">
        <f>IFERROR(VLOOKUP($I73,'Institution Evaluation'!$A$55:$F$345,3,0),IFERROR(VLOOKUP($I73,'Privacy Analyst Evaluation'!$A$46:$F$120,3,0),""))&amp;""</f>
        <v/>
      </c>
      <c r="L73" s="241" t="str">
        <f>IFERROR(VLOOKUP($I73,'Institution Evaluation'!$A$55:$F$345,4,0),IFERROR(VLOOKUP($I73,'Privacy Analyst Evaluation'!$A$46:$F$120,4,0),""))&amp;""</f>
        <v/>
      </c>
      <c r="M73" s="241" t="str">
        <f>IFERROR(VLOOKUP($I73,'Institution Evaluation'!$A$55:$F$345,6,0),IFERROR(VLOOKUP($I73,'Privacy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30" customHeight="1" x14ac:dyDescent="0.2">
      <c r="A74" s="241">
        <f>IFERROR(IF($A73+1&gt;'(backend scoring)'!$T$335,"",$A73+1),"")</f>
        <v>50</v>
      </c>
      <c r="B74" s="241" t="str">
        <f>_xlfn.XLOOKUP($A74,'(backend scoring)'!$V$2:$V$333,'(backend scoring)'!$A$2:$A$333,"")</f>
        <v>PPPR-01</v>
      </c>
      <c r="C74" s="241" t="str">
        <f>IFERROR(VLOOKUP($B74,'Institution Evaluation'!$A$55:$F$345,2,0),IFERROR(VLOOKUP($B74,'Privacy Analyst Evaluation'!$A$46:$F$120,2,0),""))&amp;""</f>
        <v>Do you have a documented patch management process?*</v>
      </c>
      <c r="D74" s="241" t="str">
        <f>IFERROR(VLOOKUP($B74,'Institution Evaluation'!$A$55:$F$345,3,0),IFERROR(VLOOKUP($B74,'Privacy Analyst Evaluation'!$A$46:$F$120,3,0),""))&amp;""</f>
        <v>Yes</v>
      </c>
      <c r="E74" s="241" t="str">
        <f>IFERROR(VLOOKUP($B74,'Institution Evaluation'!$A$55:$F$345,4,0),IFERROR(VLOOKUP($B74,'Privacy Analyst Evaluation'!$A$46:$F$120,4,0),""))&amp;""</f>
        <v>Updates addressing known issues are released as needed; there is no separate formal written patch-management policy beyond this practice.</v>
      </c>
      <c r="F74" s="241" t="str">
        <f>IFERROR(VLOOKUP($B74,'Institution Evaluation'!$A$55:$F$345,6,0),IFERROR(VLOOKUP($B74,'Privacy Analyst Evaluation'!$A$46:$F$120,6,0),""))&amp;""</f>
        <v/>
      </c>
      <c r="G74" s="242"/>
      <c r="H74" s="241" t="str">
        <f>IFERROR(IF($H73+1&gt;'(backend scoring)'!$Q$335,"",$H73+1),"")</f>
        <v/>
      </c>
      <c r="I74" s="241" t="str">
        <f>_xlfn.XLOOKUP($H74,'(backend scoring)'!$S$2:$S$333,'(backend scoring)'!$A$2:$A$333,"")</f>
        <v/>
      </c>
      <c r="J74" s="241" t="str">
        <f>IFERROR(VLOOKUP($I74,'Institution Evaluation'!$A$55:$F$345,2,0),IFERROR(VLOOKUP($I74,'Privacy Analyst Evaluation'!$A$46:$F$120,2,0),""))</f>
        <v/>
      </c>
      <c r="K74" s="241" t="str">
        <f>IFERROR(VLOOKUP($I74,'Institution Evaluation'!$A$55:$F$345,3,0),IFERROR(VLOOKUP($I74,'Privacy Analyst Evaluation'!$A$46:$F$120,3,0),""))&amp;""</f>
        <v/>
      </c>
      <c r="L74" s="241" t="str">
        <f>IFERROR(VLOOKUP($I74,'Institution Evaluation'!$A$55:$F$345,4,0),IFERROR(VLOOKUP($I74,'Privacy Analyst Evaluation'!$A$46:$F$120,4,0),""))&amp;""</f>
        <v/>
      </c>
      <c r="M74" s="241" t="str">
        <f>IFERROR(VLOOKUP($I74,'Institution Evaluation'!$A$55:$F$345,6,0),IFERROR(VLOOKUP($I74,'Privacy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75" customHeight="1" x14ac:dyDescent="0.2">
      <c r="A75" s="241">
        <f>IFERROR(IF($A74+1&gt;'(backend scoring)'!$T$335,"",$A74+1),"")</f>
        <v>51</v>
      </c>
      <c r="B75" s="241" t="str">
        <f>_xlfn.XLOOKUP($A75,'(backend scoring)'!$V$2:$V$333,'(backend scoring)'!$A$2:$A$333,"")</f>
        <v>PPPR-02</v>
      </c>
      <c r="C75" s="241" t="str">
        <f>IFERROR(VLOOKUP($B75,'Institution Evaluation'!$A$55:$F$345,2,0),IFERROR(VLOOKUP($B75,'Privacy Analyst Evaluation'!$A$46:$F$120,2,0),""))&amp;""</f>
        <v>Can your organization comply with institutional policies on privacy and data protection with regard to users of institutional systems, if required?*</v>
      </c>
      <c r="D75" s="241" t="str">
        <f>IFERROR(VLOOKUP($B75,'Institution Evaluation'!$A$55:$F$345,3,0),IFERROR(VLOOKUP($B75,'Privacy Analyst Evaluation'!$A$46:$F$120,3,0),""))&amp;""</f>
        <v>Yes</v>
      </c>
      <c r="E75" s="241" t="str">
        <f>IFERROR(VLOOKUP($B75,'Institution Evaluation'!$A$55:$F$345,4,0),IFERROR(VLOOKUP($B75,'Privacy Analyst Evaluation'!$A$46:$F$120,4,0),""))&amp;""</f>
        <v>SmartPLS GmbH will work with institutions to accommodate reasonable privacy and data-protection requirements.</v>
      </c>
      <c r="F75" s="241" t="str">
        <f>IFERROR(VLOOKUP($B75,'Institution Evaluation'!$A$55:$F$345,6,0),IFERROR(VLOOKUP($B75,'Privacy Analyst Evaluation'!$A$46:$F$120,6,0),""))&amp;""</f>
        <v/>
      </c>
      <c r="G75" s="242"/>
      <c r="H75" s="241" t="str">
        <f>IFERROR(IF($H74+1&gt;'(backend scoring)'!$Q$335,"",$H74+1),"")</f>
        <v/>
      </c>
      <c r="I75" s="241" t="str">
        <f>_xlfn.XLOOKUP($H75,'(backend scoring)'!$S$2:$S$333,'(backend scoring)'!$A$2:$A$333,"")</f>
        <v/>
      </c>
      <c r="J75" s="241" t="str">
        <f>IFERROR(VLOOKUP($I75,'Institution Evaluation'!$A$55:$F$345,2,0),IFERROR(VLOOKUP($I75,'Privacy Analyst Evaluation'!$A$46:$F$120,2,0),""))</f>
        <v/>
      </c>
      <c r="K75" s="241" t="str">
        <f>IFERROR(VLOOKUP($I75,'Institution Evaluation'!$A$55:$F$345,3,0),IFERROR(VLOOKUP($I75,'Privacy Analyst Evaluation'!$A$46:$F$120,3,0),""))&amp;""</f>
        <v/>
      </c>
      <c r="L75" s="241" t="str">
        <f>IFERROR(VLOOKUP($I75,'Institution Evaluation'!$A$55:$F$345,4,0),IFERROR(VLOOKUP($I75,'Privacy Analyst Evaluation'!$A$46:$F$120,4,0),""))&amp;""</f>
        <v/>
      </c>
      <c r="M75" s="241" t="str">
        <f>IFERROR(VLOOKUP($I75,'Institution Evaluation'!$A$55:$F$345,6,0),IFERROR(VLOOKUP($I75,'Privacy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45" customHeight="1" x14ac:dyDescent="0.2">
      <c r="A76" s="241">
        <f>IFERROR(IF($A75+1&gt;'(backend scoring)'!$T$335,"",$A75+1),"")</f>
        <v>52</v>
      </c>
      <c r="B76" s="241" t="str">
        <f>_xlfn.XLOOKUP($A76,'(backend scoring)'!$V$2:$V$333,'(backend scoring)'!$A$2:$A$333,"")</f>
        <v>PPPR-03</v>
      </c>
      <c r="C76" s="241" t="str">
        <f>IFERROR(VLOOKUP($B76,'Institution Evaluation'!$A$55:$F$345,2,0),IFERROR(VLOOKUP($B76,'Privacy Analyst Evaluation'!$A$46:$F$120,2,0),""))&amp;""</f>
        <v>Is your company subject to the institution's geographic region's laws and regulations?*</v>
      </c>
      <c r="D76" s="241" t="str">
        <f>IFERROR(VLOOKUP($B76,'Institution Evaluation'!$A$55:$F$345,3,0),IFERROR(VLOOKUP($B76,'Privacy Analyst Evaluation'!$A$46:$F$120,3,0),""))&amp;""</f>
        <v>Yes</v>
      </c>
      <c r="E76" s="241" t="str">
        <f>IFERROR(VLOOKUP($B76,'Institution Evaluation'!$A$55:$F$345,4,0),IFERROR(VLOOKUP($B76,'Privacy Analyst Evaluation'!$A$46:$F$120,4,0),""))&amp;""</f>
        <v>SmartPLS GmbH is subject to German and EU law (including GDPR) and will contractually agree to comply with applicable requirements of an institution’s jurisdiction as needed.</v>
      </c>
      <c r="F76" s="241" t="str">
        <f>IFERROR(VLOOKUP($B76,'Institution Evaluation'!$A$55:$F$345,6,0),IFERROR(VLOOKUP($B76,'Privacy Analyst Evaluation'!$A$46:$F$120,6,0),""))&amp;""</f>
        <v/>
      </c>
      <c r="G76" s="242"/>
      <c r="H76" s="241" t="str">
        <f>IFERROR(IF($H75+1&gt;'(backend scoring)'!$Q$335,"",$H75+1),"")</f>
        <v/>
      </c>
      <c r="I76" s="241" t="str">
        <f>_xlfn.XLOOKUP($H76,'(backend scoring)'!$S$2:$S$333,'(backend scoring)'!$A$2:$A$333,"")</f>
        <v/>
      </c>
      <c r="J76" s="241" t="str">
        <f>IFERROR(VLOOKUP($I76,'Institution Evaluation'!$A$55:$F$345,2,0),IFERROR(VLOOKUP($I76,'Privacy Analyst Evaluation'!$A$46:$F$120,2,0),""))</f>
        <v/>
      </c>
      <c r="K76" s="241" t="str">
        <f>IFERROR(VLOOKUP($I76,'Institution Evaluation'!$A$55:$F$345,3,0),IFERROR(VLOOKUP($I76,'Privacy Analyst Evaluation'!$A$46:$F$120,3,0),""))&amp;""</f>
        <v/>
      </c>
      <c r="L76" s="241" t="str">
        <f>IFERROR(VLOOKUP($I76,'Institution Evaluation'!$A$55:$F$345,4,0),IFERROR(VLOOKUP($I76,'Privacy Analyst Evaluation'!$A$46:$F$120,4,0),""))&amp;""</f>
        <v/>
      </c>
      <c r="M76" s="241" t="str">
        <f>IFERROR(VLOOKUP($I76,'Institution Evaluation'!$A$55:$F$345,6,0),IFERROR(VLOOKUP($I76,'Privacy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90" customHeight="1" x14ac:dyDescent="0.2">
      <c r="A77" s="241">
        <f>IFERROR(IF($A76+1&gt;'(backend scoring)'!$T$335,"",$A76+1),"")</f>
        <v>53</v>
      </c>
      <c r="B77" s="241" t="str">
        <f>_xlfn.XLOOKUP($A77,'(backend scoring)'!$V$2:$V$333,'(backend scoring)'!$A$2:$A$333,"")</f>
        <v>VULN-01</v>
      </c>
      <c r="C77" s="241" t="str">
        <f>IFERROR(VLOOKUP($B77,'Institution Evaluation'!$A$55:$F$345,2,0),IFERROR(VLOOKUP($B77,'Privacy Analyst Evaluation'!$A$46:$F$120,2,0),""))&amp;""</f>
        <v>Are your systems and applications scanned with an authenticated user account for vulnerabilities (that are remediated) prior to new releases?*</v>
      </c>
      <c r="D77" s="241" t="str">
        <f>IFERROR(VLOOKUP($B77,'Institution Evaluation'!$A$55:$F$345,3,0),IFERROR(VLOOKUP($B77,'Privacy Analyst Evaluation'!$A$46:$F$120,3,0),""))&amp;""</f>
        <v>N/A</v>
      </c>
      <c r="E77" s="241" t="str">
        <f>IFERROR(VLOOKUP($B77,'Institution Evaluation'!$A$55:$F$345,4,0),IFERROR(VLOOKUP($B77,'Privacy Analyst Evaluation'!$A$46:$F$120,4,0),""))&amp;""</f>
        <v>This question does not apply.</v>
      </c>
      <c r="F77" s="241" t="str">
        <f>IFERROR(VLOOKUP($B77,'Institution Evaluation'!$A$55:$F$345,6,0),IFERROR(VLOOKUP($B77,'Privacy Analyst Evaluation'!$A$46:$F$120,6,0),""))&amp;""</f>
        <v/>
      </c>
      <c r="G77" s="242"/>
      <c r="H77" s="241" t="str">
        <f>IFERROR(IF($H76+1&gt;'(backend scoring)'!$Q$335,"",$H76+1),"")</f>
        <v/>
      </c>
      <c r="I77" s="241" t="str">
        <f>_xlfn.XLOOKUP($H77,'(backend scoring)'!$S$2:$S$333,'(backend scoring)'!$A$2:$A$333,"")</f>
        <v/>
      </c>
      <c r="J77" s="241" t="str">
        <f>IFERROR(VLOOKUP($I77,'Institution Evaluation'!$A$55:$F$345,2,0),IFERROR(VLOOKUP($I77,'Privacy Analyst Evaluation'!$A$46:$F$120,2,0),""))</f>
        <v/>
      </c>
      <c r="K77" s="241" t="str">
        <f>IFERROR(VLOOKUP($I77,'Institution Evaluation'!$A$55:$F$345,3,0),IFERROR(VLOOKUP($I77,'Privacy Analyst Evaluation'!$A$46:$F$120,3,0),""))&amp;""</f>
        <v/>
      </c>
      <c r="L77" s="241" t="str">
        <f>IFERROR(VLOOKUP($I77,'Institution Evaluation'!$A$55:$F$345,4,0),IFERROR(VLOOKUP($I77,'Privacy Analyst Evaluation'!$A$46:$F$120,4,0),""))&amp;""</f>
        <v/>
      </c>
      <c r="M77" s="241" t="str">
        <f>IFERROR(VLOOKUP($I77,'Institution Evaluation'!$A$55:$F$345,6,0),IFERROR(VLOOKUP($I77,'Privacy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60" customHeight="1" x14ac:dyDescent="0.2">
      <c r="A78" s="241">
        <f>IFERROR(IF($A77+1&gt;'(backend scoring)'!$T$335,"",$A77+1),"")</f>
        <v>54</v>
      </c>
      <c r="B78" s="241" t="str">
        <f>_xlfn.XLOOKUP($A78,'(backend scoring)'!$V$2:$V$333,'(backend scoring)'!$A$2:$A$333,"")</f>
        <v>VULN-02</v>
      </c>
      <c r="C78" s="241" t="str">
        <f>IFERROR(VLOOKUP($B78,'Institution Evaluation'!$A$55:$F$345,2,0),IFERROR(VLOOKUP($B78,'Privacy Analyst Evaluation'!$A$46:$F$120,2,0),""))&amp;""</f>
        <v>Will you provide results of application and system vulnerability scans to the institution?*</v>
      </c>
      <c r="D78" s="241" t="str">
        <f>IFERROR(VLOOKUP($B78,'Institution Evaluation'!$A$55:$F$345,3,0),IFERROR(VLOOKUP($B78,'Privacy Analyst Evaluation'!$A$46:$F$120,3,0),""))&amp;""</f>
        <v>N/A</v>
      </c>
      <c r="E78" s="241" t="str">
        <f>IFERROR(VLOOKUP($B78,'Institution Evaluation'!$A$55:$F$345,4,0),IFERROR(VLOOKUP($B78,'Privacy Analyst Evaluation'!$A$46:$F$120,4,0),""))&amp;""</f>
        <v>This question does not apply.</v>
      </c>
      <c r="F78" s="241" t="str">
        <f>IFERROR(VLOOKUP($B78,'Institution Evaluation'!$A$55:$F$345,6,0),IFERROR(VLOOKUP($B78,'Privacy Analyst Evaluation'!$A$46:$F$120,6,0),""))&amp;""</f>
        <v/>
      </c>
      <c r="G78" s="242"/>
      <c r="H78" s="241" t="str">
        <f>IFERROR(IF($H77+1&gt;'(backend scoring)'!$Q$335,"",$H77+1),"")</f>
        <v/>
      </c>
      <c r="I78" s="241" t="str">
        <f>_xlfn.XLOOKUP($H78,'(backend scoring)'!$S$2:$S$333,'(backend scoring)'!$A$2:$A$333,"")</f>
        <v/>
      </c>
      <c r="J78" s="241" t="str">
        <f>IFERROR(VLOOKUP($I78,'Institution Evaluation'!$A$55:$F$345,2,0),IFERROR(VLOOKUP($I78,'Privacy Analyst Evaluation'!$A$46:$F$120,2,0),""))</f>
        <v/>
      </c>
      <c r="K78" s="241" t="str">
        <f>IFERROR(VLOOKUP($I78,'Institution Evaluation'!$A$55:$F$345,3,0),IFERROR(VLOOKUP($I78,'Privacy Analyst Evaluation'!$A$46:$F$120,3,0),""))&amp;""</f>
        <v/>
      </c>
      <c r="L78" s="241" t="str">
        <f>IFERROR(VLOOKUP($I78,'Institution Evaluation'!$A$55:$F$345,4,0),IFERROR(VLOOKUP($I78,'Privacy Analyst Evaluation'!$A$46:$F$120,4,0),""))&amp;""</f>
        <v/>
      </c>
      <c r="M78" s="241" t="str">
        <f>IFERROR(VLOOKUP($I78,'Institution Evaluation'!$A$55:$F$345,6,0),IFERROR(VLOOKUP($I78,'Privacy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105" customHeight="1" x14ac:dyDescent="0.2">
      <c r="A79" s="241">
        <f>IFERROR(IF($A78+1&gt;'(backend scoring)'!$T$335,"",$A78+1),"")</f>
        <v>55</v>
      </c>
      <c r="B79" s="241" t="str">
        <f>_xlfn.XLOOKUP($A79,'(backend scoring)'!$V$2:$V$333,'(backend scoring)'!$A$2:$A$333,"")</f>
        <v>VULN-03</v>
      </c>
      <c r="C79" s="241" t="str">
        <f>IFERROR(VLOOKUP($B79,'Institution Evaluation'!$A$55:$F$345,2,0),IFERROR(VLOOKUP($B79,'Privacy Analyst Evaluation'!$A$46:$F$120,2,0),""))&amp;""</f>
        <v>Will you allow the institution to perform its own vulnerability testing and/or scanning of your systems and/or application, provided that testing is performed at a mutually agreed upon time and date?*</v>
      </c>
      <c r="D79" s="241" t="str">
        <f>IFERROR(VLOOKUP($B79,'Institution Evaluation'!$A$55:$F$345,3,0),IFERROR(VLOOKUP($B79,'Privacy Analyst Evaluation'!$A$46:$F$120,3,0),""))&amp;""</f>
        <v>N/A</v>
      </c>
      <c r="E79" s="241" t="str">
        <f>IFERROR(VLOOKUP($B79,'Institution Evaluation'!$A$55:$F$345,4,0),IFERROR(VLOOKUP($B79,'Privacy Analyst Evaluation'!$A$46:$F$120,4,0),""))&amp;""</f>
        <v>This question does not apply.</v>
      </c>
      <c r="F79" s="241" t="str">
        <f>IFERROR(VLOOKUP($B79,'Institution Evaluation'!$A$55:$F$345,6,0),IFERROR(VLOOKUP($B79,'Privacy Analyst Evaluation'!$A$46:$F$120,6,0),""))&amp;""</f>
        <v/>
      </c>
      <c r="G79" s="242"/>
      <c r="H79" s="241" t="str">
        <f>IFERROR(IF($H78+1&gt;'(backend scoring)'!$Q$335,"",$H78+1),"")</f>
        <v/>
      </c>
      <c r="I79" s="241" t="str">
        <f>_xlfn.XLOOKUP($H79,'(backend scoring)'!$S$2:$S$333,'(backend scoring)'!$A$2:$A$333,"")</f>
        <v/>
      </c>
      <c r="J79" s="241" t="str">
        <f>IFERROR(VLOOKUP($I79,'Institution Evaluation'!$A$55:$F$345,2,0),IFERROR(VLOOKUP($I79,'Privacy Analyst Evaluation'!$A$46:$F$120,2,0),""))</f>
        <v/>
      </c>
      <c r="K79" s="241" t="str">
        <f>IFERROR(VLOOKUP($I79,'Institution Evaluation'!$A$55:$F$345,3,0),IFERROR(VLOOKUP($I79,'Privacy Analyst Evaluation'!$A$46:$F$120,3,0),""))&amp;""</f>
        <v/>
      </c>
      <c r="L79" s="241" t="str">
        <f>IFERROR(VLOOKUP($I79,'Institution Evaluation'!$A$55:$F$345,4,0),IFERROR(VLOOKUP($I79,'Privacy Analyst Evaluation'!$A$46:$F$120,4,0),""))&amp;""</f>
        <v/>
      </c>
      <c r="M79" s="241" t="str">
        <f>IFERROR(VLOOKUP($I79,'Institution Evaluation'!$A$55:$F$345,6,0),IFERROR(VLOOKUP($I79,'Privacy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90" customHeight="1" x14ac:dyDescent="0.2">
      <c r="A80" s="241">
        <f>IFERROR(IF($A79+1&gt;'(backend scoring)'!$T$335,"",$A79+1),"")</f>
        <v>56</v>
      </c>
      <c r="B80" s="241" t="str">
        <f>_xlfn.XLOOKUP($A80,'(backend scoring)'!$V$2:$V$333,'(backend scoring)'!$A$2:$A$333,"")</f>
        <v>HIPA-01</v>
      </c>
      <c r="C80" s="241" t="str">
        <f>IFERROR(VLOOKUP($B80,'Institution Evaluation'!$A$55:$F$345,2,0),IFERROR(VLOOKUP($B80,'Privacy Analyst Evaluation'!$A$46:$F$120,2,0),""))&amp;""</f>
        <v>Do your workforce members receive regular training related to the Health Insurance Portability and Accountability Act (HIPAA) Privacy and Security Rules and the HITECH Act?*</v>
      </c>
      <c r="D80" s="241" t="str">
        <f>IFERROR(VLOOKUP($B80,'Institution Evaluation'!$A$55:$F$345,3,0),IFERROR(VLOOKUP($B80,'Privacy Analyst Evaluation'!$A$46:$F$120,3,0),""))&amp;""</f>
        <v>N/A</v>
      </c>
      <c r="E80" s="241" t="str">
        <f>IFERROR(VLOOKUP($B80,'Institution Evaluation'!$A$55:$F$345,4,0),IFERROR(VLOOKUP($B80,'Privacy Analyst Evaluation'!$A$46:$F$120,4,0),""))&amp;""</f>
        <v>This question does not apply.</v>
      </c>
      <c r="F80" s="241" t="str">
        <f>IFERROR(VLOOKUP($B80,'Institution Evaluation'!$A$55:$F$345,6,0),IFERROR(VLOOKUP($B80,'Privacy Analyst Evaluation'!$A$46:$F$120,6,0),""))&amp;""</f>
        <v/>
      </c>
      <c r="G80" s="242"/>
      <c r="H80" s="241" t="str">
        <f>IFERROR(IF($H79+1&gt;'(backend scoring)'!$Q$335,"",$H79+1),"")</f>
        <v/>
      </c>
      <c r="I80" s="241" t="str">
        <f>_xlfn.XLOOKUP($H80,'(backend scoring)'!$S$2:$S$333,'(backend scoring)'!$A$2:$A$333,"")</f>
        <v/>
      </c>
      <c r="J80" s="241" t="str">
        <f>IFERROR(VLOOKUP($I80,'Institution Evaluation'!$A$55:$F$345,2,0),IFERROR(VLOOKUP($I80,'Privacy Analyst Evaluation'!$A$46:$F$120,2,0),""))</f>
        <v/>
      </c>
      <c r="K80" s="241" t="str">
        <f>IFERROR(VLOOKUP($I80,'Institution Evaluation'!$A$55:$F$345,3,0),IFERROR(VLOOKUP($I80,'Privacy Analyst Evaluation'!$A$46:$F$120,3,0),""))&amp;""</f>
        <v/>
      </c>
      <c r="L80" s="241" t="str">
        <f>IFERROR(VLOOKUP($I80,'Institution Evaluation'!$A$55:$F$345,4,0),IFERROR(VLOOKUP($I80,'Privacy Analyst Evaluation'!$A$46:$F$120,4,0),""))&amp;""</f>
        <v/>
      </c>
      <c r="M80" s="241" t="str">
        <f>IFERROR(VLOOKUP($I80,'Institution Evaluation'!$A$55:$F$345,6,0),IFERROR(VLOOKUP($I80,'Privacy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30" customHeight="1" x14ac:dyDescent="0.2">
      <c r="A81" s="241">
        <f>IFERROR(IF($A80+1&gt;'(backend scoring)'!$T$335,"",$A80+1),"")</f>
        <v>57</v>
      </c>
      <c r="B81" s="241" t="str">
        <f>_xlfn.XLOOKUP($A81,'(backend scoring)'!$V$2:$V$333,'(backend scoring)'!$A$2:$A$333,"")</f>
        <v>HIPA-02</v>
      </c>
      <c r="C81" s="241" t="str">
        <f>IFERROR(VLOOKUP($B81,'Institution Evaluation'!$A$55:$F$345,2,0),IFERROR(VLOOKUP($B81,'Privacy Analyst Evaluation'!$A$46:$F$120,2,0),""))&amp;""</f>
        <v>Have you identified areas of risk?*</v>
      </c>
      <c r="D81" s="241" t="str">
        <f>IFERROR(VLOOKUP($B81,'Institution Evaluation'!$A$55:$F$345,3,0),IFERROR(VLOOKUP($B81,'Privacy Analyst Evaluation'!$A$46:$F$120,3,0),""))&amp;""</f>
        <v>N/A</v>
      </c>
      <c r="E81" s="241" t="str">
        <f>IFERROR(VLOOKUP($B81,'Institution Evaluation'!$A$55:$F$345,4,0),IFERROR(VLOOKUP($B81,'Privacy Analyst Evaluation'!$A$46:$F$120,4,0),""))&amp;""</f>
        <v>This question does not apply.</v>
      </c>
      <c r="F81" s="241" t="str">
        <f>IFERROR(VLOOKUP($B81,'Institution Evaluation'!$A$55:$F$345,6,0),IFERROR(VLOOKUP($B81,'Privacy Analyst Evaluation'!$A$46:$F$120,6,0),""))&amp;""</f>
        <v/>
      </c>
      <c r="G81" s="242"/>
      <c r="H81" s="241" t="str">
        <f>IFERROR(IF($H80+1&gt;'(backend scoring)'!$Q$335,"",$H80+1),"")</f>
        <v/>
      </c>
      <c r="I81" s="241" t="str">
        <f>_xlfn.XLOOKUP($H81,'(backend scoring)'!$S$2:$S$333,'(backend scoring)'!$A$2:$A$333,"")</f>
        <v/>
      </c>
      <c r="J81" s="241" t="str">
        <f>IFERROR(VLOOKUP($I81,'Institution Evaluation'!$A$55:$F$345,2,0),IFERROR(VLOOKUP($I81,'Privacy Analyst Evaluation'!$A$46:$F$120,2,0),""))</f>
        <v/>
      </c>
      <c r="K81" s="241" t="str">
        <f>IFERROR(VLOOKUP($I81,'Institution Evaluation'!$A$55:$F$345,3,0),IFERROR(VLOOKUP($I81,'Privacy Analyst Evaluation'!$A$46:$F$120,3,0),""))&amp;""</f>
        <v/>
      </c>
      <c r="L81" s="241" t="str">
        <f>IFERROR(VLOOKUP($I81,'Institution Evaluation'!$A$55:$F$345,4,0),IFERROR(VLOOKUP($I81,'Privacy Analyst Evaluation'!$A$46:$F$120,4,0),""))&amp;""</f>
        <v/>
      </c>
      <c r="M81" s="241" t="str">
        <f>IFERROR(VLOOKUP($I81,'Institution Evaluation'!$A$55:$F$345,6,0),IFERROR(VLOOKUP($I81,'Privacy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customHeight="1" x14ac:dyDescent="0.2">
      <c r="A82" s="241">
        <f>IFERROR(IF($A81+1&gt;'(backend scoring)'!$T$335,"",$A81+1),"")</f>
        <v>58</v>
      </c>
      <c r="B82" s="241" t="str">
        <f>_xlfn.XLOOKUP($A82,'(backend scoring)'!$V$2:$V$333,'(backend scoring)'!$A$2:$A$333,"")</f>
        <v>HIPA-03</v>
      </c>
      <c r="C82" s="241" t="str">
        <f>IFERROR(VLOOKUP($B82,'Institution Evaluation'!$A$55:$F$345,2,0),IFERROR(VLOOKUP($B82,'Privacy Analyst Evaluation'!$A$46:$F$120,2,0),""))&amp;""</f>
        <v>Have the relevant policies/plans been tested?*</v>
      </c>
      <c r="D82" s="241" t="str">
        <f>IFERROR(VLOOKUP($B82,'Institution Evaluation'!$A$55:$F$345,3,0),IFERROR(VLOOKUP($B82,'Privacy Analyst Evaluation'!$A$46:$F$120,3,0),""))&amp;""</f>
        <v>N/A</v>
      </c>
      <c r="E82" s="241" t="str">
        <f>IFERROR(VLOOKUP($B82,'Institution Evaluation'!$A$55:$F$345,4,0),IFERROR(VLOOKUP($B82,'Privacy Analyst Evaluation'!$A$46:$F$120,4,0),""))&amp;""</f>
        <v>This question does not apply.</v>
      </c>
      <c r="F82" s="241" t="str">
        <f>IFERROR(VLOOKUP($B82,'Institution Evaluation'!$A$55:$F$345,6,0),IFERROR(VLOOKUP($B82,'Privacy Analyst Evaluation'!$A$46:$F$120,6,0),""))&amp;""</f>
        <v/>
      </c>
      <c r="G82" s="242"/>
      <c r="H82" s="241" t="str">
        <f>IFERROR(IF($H81+1&gt;'(backend scoring)'!$Q$335,"",$H81+1),"")</f>
        <v/>
      </c>
      <c r="I82" s="241" t="str">
        <f>_xlfn.XLOOKUP($H82,'(backend scoring)'!$S$2:$S$333,'(backend scoring)'!$A$2:$A$333,"")</f>
        <v/>
      </c>
      <c r="J82" s="241" t="str">
        <f>IFERROR(VLOOKUP($I82,'Institution Evaluation'!$A$55:$F$345,2,0),IFERROR(VLOOKUP($I82,'Privacy Analyst Evaluation'!$A$46:$F$120,2,0),""))</f>
        <v/>
      </c>
      <c r="K82" s="241" t="str">
        <f>IFERROR(VLOOKUP($I82,'Institution Evaluation'!$A$55:$F$345,3,0),IFERROR(VLOOKUP($I82,'Privacy Analyst Evaluation'!$A$46:$F$120,3,0),""))&amp;""</f>
        <v/>
      </c>
      <c r="L82" s="241" t="str">
        <f>IFERROR(VLOOKUP($I82,'Institution Evaluation'!$A$55:$F$345,4,0),IFERROR(VLOOKUP($I82,'Privacy Analyst Evaluation'!$A$46:$F$120,4,0),""))&amp;""</f>
        <v/>
      </c>
      <c r="M82" s="241" t="str">
        <f>IFERROR(VLOOKUP($I82,'Institution Evaluation'!$A$55:$F$345,6,0),IFERROR(VLOOKUP($I82,'Privacy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75" customHeight="1" x14ac:dyDescent="0.2">
      <c r="A83" s="241">
        <f>IFERROR(IF($A82+1&gt;'(backend scoring)'!$T$335,"",$A82+1),"")</f>
        <v>59</v>
      </c>
      <c r="B83" s="241" t="str">
        <f>_xlfn.XLOOKUP($A83,'(backend scoring)'!$V$2:$V$333,'(backend scoring)'!$A$2:$A$333,"")</f>
        <v>HIPA-04</v>
      </c>
      <c r="C83" s="241" t="str">
        <f>IFERROR(VLOOKUP($B83,'Institution Evaluation'!$A$55:$F$345,2,0),IFERROR(VLOOKUP($B83,'Privacy Analyst Evaluation'!$A$46:$F$120,2,0),""))&amp;""</f>
        <v>Have you entered into a Business Associate Agreements with all subcontractors who may have access to protected health information (PHI)?*</v>
      </c>
      <c r="D83" s="241" t="str">
        <f>IFERROR(VLOOKUP($B83,'Institution Evaluation'!$A$55:$F$345,3,0),IFERROR(VLOOKUP($B83,'Privacy Analyst Evaluation'!$A$46:$F$120,3,0),""))&amp;""</f>
        <v>N/A</v>
      </c>
      <c r="E83" s="241" t="str">
        <f>IFERROR(VLOOKUP($B83,'Institution Evaluation'!$A$55:$F$345,4,0),IFERROR(VLOOKUP($B83,'Privacy Analyst Evaluation'!$A$46:$F$120,4,0),""))&amp;""</f>
        <v>This question does not apply.</v>
      </c>
      <c r="F83" s="241" t="str">
        <f>IFERROR(VLOOKUP($B83,'Institution Evaluation'!$A$55:$F$345,6,0),IFERROR(VLOOKUP($B83,'Privacy Analyst Evaluation'!$A$46:$F$120,6,0),""))&amp;""</f>
        <v/>
      </c>
      <c r="G83" s="242"/>
      <c r="H83" s="241" t="str">
        <f>IFERROR(IF($H82+1&gt;'(backend scoring)'!$Q$335,"",$H82+1),"")</f>
        <v/>
      </c>
      <c r="I83" s="241" t="str">
        <f>_xlfn.XLOOKUP($H83,'(backend scoring)'!$S$2:$S$333,'(backend scoring)'!$A$2:$A$333,"")</f>
        <v/>
      </c>
      <c r="J83" s="241" t="str">
        <f>IFERROR(VLOOKUP($I83,'Institution Evaluation'!$A$55:$F$345,2,0),IFERROR(VLOOKUP($I83,'Privacy Analyst Evaluation'!$A$46:$F$120,2,0),""))</f>
        <v/>
      </c>
      <c r="K83" s="241" t="str">
        <f>IFERROR(VLOOKUP($I83,'Institution Evaluation'!$A$55:$F$345,3,0),IFERROR(VLOOKUP($I83,'Privacy Analyst Evaluation'!$A$46:$F$120,3,0),""))&amp;""</f>
        <v/>
      </c>
      <c r="L83" s="241" t="str">
        <f>IFERROR(VLOOKUP($I83,'Institution Evaluation'!$A$55:$F$345,4,0),IFERROR(VLOOKUP($I83,'Privacy Analyst Evaluation'!$A$46:$F$120,4,0),""))&amp;""</f>
        <v/>
      </c>
      <c r="M83" s="241" t="str">
        <f>IFERROR(VLOOKUP($I83,'Institution Evaluation'!$A$55:$F$345,6,0),IFERROR(VLOOKUP($I83,'Privacy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60" customHeight="1" x14ac:dyDescent="0.2">
      <c r="A84" s="241">
        <f>IFERROR(IF($A83+1&gt;'(backend scoring)'!$T$335,"",$A83+1),"")</f>
        <v>60</v>
      </c>
      <c r="B84" s="241" t="str">
        <f>_xlfn.XLOOKUP($A84,'(backend scoring)'!$V$2:$V$333,'(backend scoring)'!$A$2:$A$333,"")</f>
        <v>PCID-01</v>
      </c>
      <c r="C84" s="241" t="str">
        <f>IFERROR(VLOOKUP($B84,'Institution Evaluation'!$A$55:$F$345,2,0),IFERROR(VLOOKUP($B84,'Privacy Analyst Evaluation'!$A$46:$F$120,2,0),""))&amp;""</f>
        <v>Do you have a current, executed within the past year, Attestation of Compliance (AoC) or Report on Compliance (RoC)?*</v>
      </c>
      <c r="D84" s="241" t="str">
        <f>IFERROR(VLOOKUP($B84,'Institution Evaluation'!$A$55:$F$345,3,0),IFERROR(VLOOKUP($B84,'Privacy Analyst Evaluation'!$A$46:$F$120,3,0),""))&amp;""</f>
        <v>N/A</v>
      </c>
      <c r="E84" s="241" t="str">
        <f>IFERROR(VLOOKUP($B84,'Institution Evaluation'!$A$55:$F$345,4,0),IFERROR(VLOOKUP($B84,'Privacy Analyst Evaluation'!$A$46:$F$120,4,0),""))&amp;""</f>
        <v>This question does not apply.</v>
      </c>
      <c r="F84" s="241" t="str">
        <f>IFERROR(VLOOKUP($B84,'Institution Evaluation'!$A$55:$F$345,6,0),IFERROR(VLOOKUP($B84,'Privacy Analyst Evaluation'!$A$46:$F$120,6,0),""))&amp;""</f>
        <v/>
      </c>
      <c r="G84" s="242"/>
      <c r="H84" s="241" t="str">
        <f>IFERROR(IF($H83+1&gt;'(backend scoring)'!$Q$335,"",$H83+1),"")</f>
        <v/>
      </c>
      <c r="I84" s="241" t="str">
        <f>_xlfn.XLOOKUP($H84,'(backend scoring)'!$S$2:$S$333,'(backend scoring)'!$A$2:$A$333,"")</f>
        <v/>
      </c>
      <c r="J84" s="241" t="str">
        <f>IFERROR(VLOOKUP($I84,'Institution Evaluation'!$A$55:$F$345,2,0),IFERROR(VLOOKUP($I84,'Privacy Analyst Evaluation'!$A$46:$F$120,2,0),""))</f>
        <v/>
      </c>
      <c r="K84" s="241" t="str">
        <f>IFERROR(VLOOKUP($I84,'Institution Evaluation'!$A$55:$F$345,3,0),IFERROR(VLOOKUP($I84,'Privacy Analyst Evaluation'!$A$46:$F$120,3,0),""))&amp;""</f>
        <v/>
      </c>
      <c r="L84" s="241" t="str">
        <f>IFERROR(VLOOKUP($I84,'Institution Evaluation'!$A$55:$F$345,4,0),IFERROR(VLOOKUP($I84,'Privacy Analyst Evaluation'!$A$46:$F$120,4,0),""))&amp;""</f>
        <v/>
      </c>
      <c r="M84" s="241" t="str">
        <f>IFERROR(VLOOKUP($I84,'Institution Evaluation'!$A$55:$F$345,6,0),IFERROR(VLOOKUP($I84,'Privacy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customHeight="1" x14ac:dyDescent="0.2">
      <c r="A85" s="241">
        <f>IFERROR(IF($A84+1&gt;'(backend scoring)'!$T$335,"",$A84+1),"")</f>
        <v>61</v>
      </c>
      <c r="B85" s="241" t="str">
        <f>_xlfn.XLOOKUP($A85,'(backend scoring)'!$V$2:$V$333,'(backend scoring)'!$A$2:$A$333,"")</f>
        <v>PCID-02</v>
      </c>
      <c r="C85" s="241" t="str">
        <f>IFERROR(VLOOKUP($B85,'Institution Evaluation'!$A$55:$F$345,2,0),IFERROR(VLOOKUP($B85,'Privacy Analyst Evaluation'!$A$46:$F$120,2,0),""))&amp;""</f>
        <v>Is the application listed as an approved Payment Application Data Security Standard (PA-DSS) application?*</v>
      </c>
      <c r="D85" s="241" t="str">
        <f>IFERROR(VLOOKUP($B85,'Institution Evaluation'!$A$55:$F$345,3,0),IFERROR(VLOOKUP($B85,'Privacy Analyst Evaluation'!$A$46:$F$120,3,0),""))&amp;""</f>
        <v>N/A</v>
      </c>
      <c r="E85" s="241" t="str">
        <f>IFERROR(VLOOKUP($B85,'Institution Evaluation'!$A$55:$F$345,4,0),IFERROR(VLOOKUP($B85,'Privacy Analyst Evaluation'!$A$46:$F$120,4,0),""))&amp;""</f>
        <v>This question does not apply.</v>
      </c>
      <c r="F85" s="241" t="str">
        <f>IFERROR(VLOOKUP($B85,'Institution Evaluation'!$A$55:$F$345,6,0),IFERROR(VLOOKUP($B85,'Privacy Analyst Evaluation'!$A$46:$F$120,6,0),""))&amp;""</f>
        <v/>
      </c>
      <c r="G85" s="242"/>
      <c r="H85" s="241" t="str">
        <f>IFERROR(IF($H84+1&gt;'(backend scoring)'!$Q$335,"",$H84+1),"")</f>
        <v/>
      </c>
      <c r="I85" s="241" t="str">
        <f>_xlfn.XLOOKUP($H85,'(backend scoring)'!$S$2:$S$333,'(backend scoring)'!$A$2:$A$333,"")</f>
        <v/>
      </c>
      <c r="J85" s="241" t="str">
        <f>IFERROR(VLOOKUP($I85,'Institution Evaluation'!$A$55:$F$345,2,0),IFERROR(VLOOKUP($I85,'Privacy Analyst Evaluation'!$A$46:$F$120,2,0),""))</f>
        <v/>
      </c>
      <c r="K85" s="241" t="str">
        <f>IFERROR(VLOOKUP($I85,'Institution Evaluation'!$A$55:$F$345,3,0),IFERROR(VLOOKUP($I85,'Privacy Analyst Evaluation'!$A$46:$F$120,3,0),""))&amp;""</f>
        <v/>
      </c>
      <c r="L85" s="241" t="str">
        <f>IFERROR(VLOOKUP($I85,'Institution Evaluation'!$A$55:$F$345,4,0),IFERROR(VLOOKUP($I85,'Privacy Analyst Evaluation'!$A$46:$F$120,4,0),""))&amp;""</f>
        <v/>
      </c>
      <c r="M85" s="241" t="str">
        <f>IFERROR(VLOOKUP($I85,'Institution Evaluation'!$A$55:$F$345,6,0),IFERROR(VLOOKUP($I85,'Privacy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75" customHeight="1" x14ac:dyDescent="0.2">
      <c r="A86" s="241">
        <f>IFERROR(IF($A85+1&gt;'(backend scoring)'!$T$335,"",$A85+1),"")</f>
        <v>62</v>
      </c>
      <c r="B86" s="241" t="str">
        <f>_xlfn.XLOOKUP($A86,'(backend scoring)'!$V$2:$V$333,'(backend scoring)'!$A$2:$A$333,"")</f>
        <v>PCID-03</v>
      </c>
      <c r="C86" s="241" t="str">
        <f>IFERROR(VLOOKUP($B86,'Institution Evaluation'!$A$55:$F$345,2,0),IFERROR(VLOOKUP($B86,'Privacy Analyst Evaluation'!$A$46:$F$120,2,0),""))&amp;""</f>
        <v>Does the system or solutions use a third party to collect, store, process, or transmit cardholder (payment/credit/debt card) data?*</v>
      </c>
      <c r="D86" s="241" t="str">
        <f>IFERROR(VLOOKUP($B86,'Institution Evaluation'!$A$55:$F$345,3,0),IFERROR(VLOOKUP($B86,'Privacy Analyst Evaluation'!$A$46:$F$120,3,0),""))&amp;""</f>
        <v>N/A</v>
      </c>
      <c r="E86" s="241" t="str">
        <f>IFERROR(VLOOKUP($B86,'Institution Evaluation'!$A$55:$F$345,4,0),IFERROR(VLOOKUP($B86,'Privacy Analyst Evaluation'!$A$46:$F$120,4,0),""))&amp;""</f>
        <v>This question does not apply.</v>
      </c>
      <c r="F86" s="241" t="str">
        <f>IFERROR(VLOOKUP($B86,'Institution Evaluation'!$A$55:$F$345,6,0),IFERROR(VLOOKUP($B86,'Privacy Analyst Evaluation'!$A$46:$F$120,6,0),""))&amp;""</f>
        <v/>
      </c>
      <c r="G86" s="242"/>
      <c r="H86" s="241" t="str">
        <f>IFERROR(IF($H85+1&gt;'(backend scoring)'!$Q$335,"",$H85+1),"")</f>
        <v/>
      </c>
      <c r="I86" s="241" t="str">
        <f>_xlfn.XLOOKUP($H86,'(backend scoring)'!$S$2:$S$333,'(backend scoring)'!$A$2:$A$333,"")</f>
        <v/>
      </c>
      <c r="J86" s="241" t="str">
        <f>IFERROR(VLOOKUP($I86,'Institution Evaluation'!$A$55:$F$345,2,0),IFERROR(VLOOKUP($I86,'Privacy Analyst Evaluation'!$A$46:$F$120,2,0),""))</f>
        <v/>
      </c>
      <c r="K86" s="241" t="str">
        <f>IFERROR(VLOOKUP($I86,'Institution Evaluation'!$A$55:$F$345,3,0),IFERROR(VLOOKUP($I86,'Privacy Analyst Evaluation'!$A$46:$F$120,3,0),""))&amp;""</f>
        <v/>
      </c>
      <c r="L86" s="241" t="str">
        <f>IFERROR(VLOOKUP($I86,'Institution Evaluation'!$A$55:$F$345,4,0),IFERROR(VLOOKUP($I86,'Privacy Analyst Evaluation'!$A$46:$F$120,4,0),""))&amp;""</f>
        <v/>
      </c>
      <c r="M86" s="241" t="str">
        <f>IFERROR(VLOOKUP($I86,'Institution Evaluation'!$A$55:$F$345,6,0),IFERROR(VLOOKUP($I86,'Privacy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105" customHeight="1" x14ac:dyDescent="0.2">
      <c r="A87" s="241">
        <f>IFERROR(IF($A86+1&gt;'(backend scoring)'!$T$335,"",$A86+1),"")</f>
        <v>63</v>
      </c>
      <c r="B87" s="241" t="str">
        <f>_xlfn.XLOOKUP($A87,'(backend scoring)'!$V$2:$V$333,'(backend scoring)'!$A$2:$A$333,"")</f>
        <v>PCOM-01</v>
      </c>
      <c r="C87" s="241" t="str">
        <f>IFERROR(VLOOKUP($B87,'Institution Evaluation'!$A$55:$F$345,2,0),IFERROR(VLOOKUP($B87,'Privacy Analyst Evaluation'!$A$46:$F$120,2,0),""))&amp;""</f>
        <v>Have you had a personal data breach in the past three years that involved reporting to a governmental agency, notice to individuals (including voluntary notice), or notice to another organization or institution?*</v>
      </c>
      <c r="D87" s="241" t="str">
        <f>IFERROR(VLOOKUP($B87,'Institution Evaluation'!$A$55:$F$345,3,0),IFERROR(VLOOKUP($B87,'Privacy Analyst Evaluation'!$A$46:$F$120,3,0),""))&amp;""</f>
        <v>No</v>
      </c>
      <c r="E87" s="241" t="str">
        <f>IFERROR(VLOOKUP($B87,'Institution Evaluation'!$A$55:$F$345,4,0),IFERROR(VLOOKUP($B87,'Privacy Analyst Evaluation'!$A$46:$F$120,4,0),""))&amp;""</f>
        <v/>
      </c>
      <c r="F87" s="241" t="str">
        <f>IFERROR(VLOOKUP($B87,'Institution Evaluation'!$A$55:$F$345,6,0),IFERROR(VLOOKUP($B87,'Privacy Analyst Evaluation'!$A$46:$F$120,6,0),""))&amp;""</f>
        <v/>
      </c>
      <c r="G87" s="242"/>
      <c r="H87" s="241" t="str">
        <f>IFERROR(IF($H86+1&gt;'(backend scoring)'!$Q$335,"",$H86+1),"")</f>
        <v/>
      </c>
      <c r="I87" s="241" t="str">
        <f>_xlfn.XLOOKUP($H87,'(backend scoring)'!$S$2:$S$333,'(backend scoring)'!$A$2:$A$333,"")</f>
        <v/>
      </c>
      <c r="J87" s="241" t="str">
        <f>IFERROR(VLOOKUP($I87,'Institution Evaluation'!$A$55:$F$345,2,0),IFERROR(VLOOKUP($I87,'Privacy Analyst Evaluation'!$A$46:$F$120,2,0),""))</f>
        <v/>
      </c>
      <c r="K87" s="241" t="str">
        <f>IFERROR(VLOOKUP($I87,'Institution Evaluation'!$A$55:$F$345,3,0),IFERROR(VLOOKUP($I87,'Privacy Analyst Evaluation'!$A$46:$F$120,3,0),""))&amp;""</f>
        <v/>
      </c>
      <c r="L87" s="241" t="str">
        <f>IFERROR(VLOOKUP($I87,'Institution Evaluation'!$A$55:$F$345,4,0),IFERROR(VLOOKUP($I87,'Privacy Analyst Evaluation'!$A$46:$F$120,4,0),""))&amp;""</f>
        <v/>
      </c>
      <c r="M87" s="241" t="str">
        <f>IFERROR(VLOOKUP($I87,'Institution Evaluation'!$A$55:$F$345,6,0),IFERROR(VLOOKUP($I87,'Privacy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75" customHeight="1" x14ac:dyDescent="0.2">
      <c r="A88" s="241">
        <f>IFERROR(IF($A87+1&gt;'(backend scoring)'!$T$335,"",$A87+1),"")</f>
        <v>64</v>
      </c>
      <c r="B88" s="241" t="str">
        <f>_xlfn.XLOOKUP($A88,'(backend scoring)'!$V$2:$V$333,'(backend scoring)'!$A$2:$A$333,"")</f>
        <v>PTHP-01</v>
      </c>
      <c r="C88" s="241" t="str">
        <f>IFERROR(VLOOKUP($B88,'Institution Evaluation'!$A$55:$F$345,2,0),IFERROR(VLOOKUP($B88,'Privacy Analyst Evaluation'!$A$46:$F$120,2,0),""))&amp;""</f>
        <v>Do you have contractual agreements with third parties that require them to maintain standards and to comply with all regulatory requirements?*</v>
      </c>
      <c r="D88" s="241" t="str">
        <f>IFERROR(VLOOKUP($B88,'Institution Evaluation'!$A$55:$F$345,3,0),IFERROR(VLOOKUP($B88,'Privacy Analyst Evaluation'!$A$46:$F$120,3,0),""))&amp;""</f>
        <v>Yes</v>
      </c>
      <c r="E88" s="241" t="str">
        <f>IFERROR(VLOOKUP($B88,'Institution Evaluation'!$A$55:$F$345,4,0),IFERROR(VLOOKUP($B88,'Privacy Analyst Evaluation'!$A$46:$F$120,4,0),""))&amp;""</f>
        <v>Standard data processing agreements are in place with processors handling any personal data on our behalf (e.g., hosting and payment providers), requiring them to comply with applicable regulatory requirements.</v>
      </c>
      <c r="F88" s="241" t="str">
        <f>IFERROR(VLOOKUP($B88,'Institution Evaluation'!$A$55:$F$345,6,0),IFERROR(VLOOKUP($B88,'Privacy Analyst Evaluation'!$A$46:$F$120,6,0),""))&amp;""</f>
        <v/>
      </c>
      <c r="G88" s="242"/>
      <c r="H88" s="241" t="str">
        <f>IFERROR(IF($H87+1&gt;'(backend scoring)'!$Q$335,"",$H87+1),"")</f>
        <v/>
      </c>
      <c r="I88" s="241" t="str">
        <f>_xlfn.XLOOKUP($H88,'(backend scoring)'!$S$2:$S$333,'(backend scoring)'!$A$2:$A$333,"")</f>
        <v/>
      </c>
      <c r="J88" s="241" t="str">
        <f>IFERROR(VLOOKUP($I88,'Institution Evaluation'!$A$55:$F$345,2,0),IFERROR(VLOOKUP($I88,'Privacy Analyst Evaluation'!$A$46:$F$120,2,0),""))</f>
        <v/>
      </c>
      <c r="K88" s="241" t="str">
        <f>IFERROR(VLOOKUP($I88,'Institution Evaluation'!$A$55:$F$345,3,0),IFERROR(VLOOKUP($I88,'Privacy Analyst Evaluation'!$A$46:$F$120,3,0),""))&amp;""</f>
        <v/>
      </c>
      <c r="L88" s="241" t="str">
        <f>IFERROR(VLOOKUP($I88,'Institution Evaluation'!$A$55:$F$345,4,0),IFERROR(VLOOKUP($I88,'Privacy Analyst Evaluation'!$A$46:$F$120,4,0),""))&amp;""</f>
        <v/>
      </c>
      <c r="M88" s="241" t="str">
        <f>IFERROR(VLOOKUP($I88,'Institution Evaluation'!$A$55:$F$345,6,0),IFERROR(VLOOKUP($I88,'Privacy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30" customHeight="1" x14ac:dyDescent="0.2">
      <c r="A89" s="241">
        <f>IFERROR(IF($A88+1&gt;'(backend scoring)'!$T$335,"",$A88+1),"")</f>
        <v>65</v>
      </c>
      <c r="B89" s="241" t="str">
        <f>_xlfn.XLOOKUP($A89,'(backend scoring)'!$V$2:$V$333,'(backend scoring)'!$A$2:$A$333,"")</f>
        <v>PDAT-01</v>
      </c>
      <c r="C89" s="241" t="str">
        <f>IFERROR(VLOOKUP($B89,'Institution Evaluation'!$A$55:$F$345,2,0),IFERROR(VLOOKUP($B89,'Privacy Analyst Evaluation'!$A$46:$F$120,2,0),""))&amp;""</f>
        <v>Do you collect, process, or store demographic information?*</v>
      </c>
      <c r="D89" s="241" t="str">
        <f>IFERROR(VLOOKUP($B89,'Institution Evaluation'!$A$55:$F$345,3,0),IFERROR(VLOOKUP($B89,'Privacy Analyst Evaluation'!$A$46:$F$120,3,0),""))&amp;""</f>
        <v>No</v>
      </c>
      <c r="E89" s="241" t="str">
        <f>IFERROR(VLOOKUP($B89,'Institution Evaluation'!$A$55:$F$345,4,0),IFERROR(VLOOKUP($B89,'Privacy Analyst Evaluation'!$A$46:$F$120,4,0),""))&amp;""</f>
        <v/>
      </c>
      <c r="F89" s="241" t="str">
        <f>IFERROR(VLOOKUP($B89,'Institution Evaluation'!$A$55:$F$345,6,0),IFERROR(VLOOKUP($B89,'Privacy Analyst Evaluation'!$A$46:$F$120,6,0),""))&amp;""</f>
        <v/>
      </c>
      <c r="G89" s="242"/>
      <c r="H89" s="241" t="str">
        <f>IFERROR(IF($H88+1&gt;'(backend scoring)'!$Q$335,"",$H88+1),"")</f>
        <v/>
      </c>
      <c r="I89" s="241" t="str">
        <f>_xlfn.XLOOKUP($H89,'(backend scoring)'!$S$2:$S$333,'(backend scoring)'!$A$2:$A$333,"")</f>
        <v/>
      </c>
      <c r="J89" s="241" t="str">
        <f>IFERROR(VLOOKUP($I89,'Institution Evaluation'!$A$55:$F$345,2,0),IFERROR(VLOOKUP($I89,'Privacy Analyst Evaluation'!$A$46:$F$120,2,0),""))</f>
        <v/>
      </c>
      <c r="K89" s="241" t="str">
        <f>IFERROR(VLOOKUP($I89,'Institution Evaluation'!$A$55:$F$345,3,0),IFERROR(VLOOKUP($I89,'Privacy Analyst Evaluation'!$A$46:$F$120,3,0),""))&amp;""</f>
        <v/>
      </c>
      <c r="L89" s="241" t="str">
        <f>IFERROR(VLOOKUP($I89,'Institution Evaluation'!$A$55:$F$345,4,0),IFERROR(VLOOKUP($I89,'Privacy Analyst Evaluation'!$A$46:$F$120,4,0),""))&amp;""</f>
        <v/>
      </c>
      <c r="M89" s="241" t="str">
        <f>IFERROR(VLOOKUP($I89,'Institution Evaluation'!$A$55:$F$345,6,0),IFERROR(VLOOKUP($I89,'Privacy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75" customHeight="1" x14ac:dyDescent="0.2">
      <c r="A90" s="241">
        <f>IFERROR(IF($A89+1&gt;'(backend scoring)'!$T$335,"",$A89+1),"")</f>
        <v>66</v>
      </c>
      <c r="B90" s="241" t="str">
        <f>_xlfn.XLOOKUP($A90,'(backend scoring)'!$V$2:$V$333,'(backend scoring)'!$A$2:$A$333,"")</f>
        <v>PDAT-02</v>
      </c>
      <c r="C90" s="241" t="str">
        <f>IFERROR(VLOOKUP($B90,'Institution Evaluation'!$A$55:$F$345,2,0),IFERROR(VLOOKUP($B90,'Privacy Analyst Evaluation'!$A$46:$F$120,2,0),""))&amp;""</f>
        <v>Do you capture or create genetic, biometric, or behaviometric information (e.g., facial recognition or fingerprints)?*</v>
      </c>
      <c r="D90" s="241" t="str">
        <f>IFERROR(VLOOKUP($B90,'Institution Evaluation'!$A$55:$F$345,3,0),IFERROR(VLOOKUP($B90,'Privacy Analyst Evaluation'!$A$46:$F$120,3,0),""))&amp;""</f>
        <v>No</v>
      </c>
      <c r="E90" s="241" t="str">
        <f>IFERROR(VLOOKUP($B90,'Institution Evaluation'!$A$55:$F$345,4,0),IFERROR(VLOOKUP($B90,'Privacy Analyst Evaluation'!$A$46:$F$120,4,0),""))&amp;""</f>
        <v/>
      </c>
      <c r="F90" s="241" t="str">
        <f>IFERROR(VLOOKUP($B90,'Institution Evaluation'!$A$55:$F$345,6,0),IFERROR(VLOOKUP($B90,'Privacy Analyst Evaluation'!$A$46:$F$120,6,0),""))&amp;""</f>
        <v/>
      </c>
      <c r="G90" s="242"/>
      <c r="H90" s="241" t="str">
        <f>IFERROR(IF($H89+1&gt;'(backend scoring)'!$Q$335,"",$H89+1),"")</f>
        <v/>
      </c>
      <c r="I90" s="241" t="str">
        <f>_xlfn.XLOOKUP($H90,'(backend scoring)'!$S$2:$S$333,'(backend scoring)'!$A$2:$A$333,"")</f>
        <v/>
      </c>
      <c r="J90" s="241" t="str">
        <f>IFERROR(VLOOKUP($I90,'Institution Evaluation'!$A$55:$F$345,2,0),IFERROR(VLOOKUP($I90,'Privacy Analyst Evaluation'!$A$46:$F$120,2,0),""))</f>
        <v/>
      </c>
      <c r="K90" s="241" t="str">
        <f>IFERROR(VLOOKUP($I90,'Institution Evaluation'!$A$55:$F$345,3,0),IFERROR(VLOOKUP($I90,'Privacy Analyst Evaluation'!$A$46:$F$120,3,0),""))&amp;""</f>
        <v/>
      </c>
      <c r="L90" s="241" t="str">
        <f>IFERROR(VLOOKUP($I90,'Institution Evaluation'!$A$55:$F$345,4,0),IFERROR(VLOOKUP($I90,'Privacy Analyst Evaluation'!$A$46:$F$120,4,0),""))&amp;""</f>
        <v/>
      </c>
      <c r="M90" s="241" t="str">
        <f>IFERROR(VLOOKUP($I90,'Institution Evaluation'!$A$55:$F$345,6,0),IFERROR(VLOOKUP($I90,'Privacy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75" customHeight="1" x14ac:dyDescent="0.2">
      <c r="A91" s="241">
        <f>IFERROR(IF($A90+1&gt;'(backend scoring)'!$T$335,"",$A90+1),"")</f>
        <v>67</v>
      </c>
      <c r="B91" s="241" t="str">
        <f>_xlfn.XLOOKUP($A91,'(backend scoring)'!$V$2:$V$333,'(backend scoring)'!$A$2:$A$333,"")</f>
        <v>PDAT-03</v>
      </c>
      <c r="C91" s="241" t="str">
        <f>IFERROR(VLOOKUP($B91,'Institution Evaluation'!$A$55:$F$345,2,0),IFERROR(VLOOKUP($B91,'Privacy Analyst Evaluation'!$A$46:$F$120,2,0),""))&amp;""</f>
        <v>Do you combine institutional data (including "de-identified," "anonymized," or otherwise masked data) with personal data from any other sources?*</v>
      </c>
      <c r="D91" s="241" t="str">
        <f>IFERROR(VLOOKUP($B91,'Institution Evaluation'!$A$55:$F$345,3,0),IFERROR(VLOOKUP($B91,'Privacy Analyst Evaluation'!$A$46:$F$120,3,0),""))&amp;""</f>
        <v>No</v>
      </c>
      <c r="E91" s="241" t="str">
        <f>IFERROR(VLOOKUP($B91,'Institution Evaluation'!$A$55:$F$345,4,0),IFERROR(VLOOKUP($B91,'Privacy Analyst Evaluation'!$A$46:$F$120,4,0),""))&amp;""</f>
        <v/>
      </c>
      <c r="F91" s="241" t="str">
        <f>IFERROR(VLOOKUP($B91,'Institution Evaluation'!$A$55:$F$345,6,0),IFERROR(VLOOKUP($B91,'Privacy Analyst Evaluation'!$A$46:$F$120,6,0),""))&amp;""</f>
        <v/>
      </c>
      <c r="G91" s="242"/>
      <c r="H91" s="241" t="str">
        <f>IFERROR(IF($H90+1&gt;'(backend scoring)'!$Q$335,"",$H90+1),"")</f>
        <v/>
      </c>
      <c r="I91" s="241" t="str">
        <f>_xlfn.XLOOKUP($H91,'(backend scoring)'!$S$2:$S$333,'(backend scoring)'!$A$2:$A$333,"")</f>
        <v/>
      </c>
      <c r="J91" s="241" t="str">
        <f>IFERROR(VLOOKUP($I91,'Institution Evaluation'!$A$55:$F$345,2,0),IFERROR(VLOOKUP($I91,'Privacy Analyst Evaluation'!$A$46:$F$120,2,0),""))</f>
        <v/>
      </c>
      <c r="K91" s="241" t="str">
        <f>IFERROR(VLOOKUP($I91,'Institution Evaluation'!$A$55:$F$345,3,0),IFERROR(VLOOKUP($I91,'Privacy Analyst Evaluation'!$A$46:$F$120,3,0),""))&amp;""</f>
        <v/>
      </c>
      <c r="L91" s="241" t="str">
        <f>IFERROR(VLOOKUP($I91,'Institution Evaluation'!$A$55:$F$345,4,0),IFERROR(VLOOKUP($I91,'Privacy Analyst Evaluation'!$A$46:$F$120,4,0),""))&amp;""</f>
        <v/>
      </c>
      <c r="M91" s="241" t="str">
        <f>IFERROR(VLOOKUP($I91,'Institution Evaluation'!$A$55:$F$345,6,0),IFERROR(VLOOKUP($I91,'Privacy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30" customHeight="1" x14ac:dyDescent="0.2">
      <c r="A92" s="241">
        <f>IFERROR(IF($A91+1&gt;'(backend scoring)'!$T$335,"",$A91+1),"")</f>
        <v>68</v>
      </c>
      <c r="B92" s="241" t="str">
        <f>_xlfn.XLOOKUP($A92,'(backend scoring)'!$V$2:$V$333,'(backend scoring)'!$A$2:$A$333,"")</f>
        <v>PRPO-06</v>
      </c>
      <c r="C92" s="241" t="str">
        <f>IFERROR(VLOOKUP($B92,'Institution Evaluation'!$A$55:$F$345,2,0),IFERROR(VLOOKUP($B92,'Privacy Analyst Evaluation'!$A$46:$F$120,2,0),""))&amp;""</f>
        <v>Do you have a privacy awareness/training program?*</v>
      </c>
      <c r="D92" s="241" t="str">
        <f>IFERROR(VLOOKUP($B92,'Institution Evaluation'!$A$55:$F$345,3,0),IFERROR(VLOOKUP($B92,'Privacy Analyst Evaluation'!$A$46:$F$120,3,0),""))&amp;""</f>
        <v>No</v>
      </c>
      <c r="E92" s="241" t="str">
        <f>IFERROR(VLOOKUP($B92,'Institution Evaluation'!$A$55:$F$345,4,0),IFERROR(VLOOKUP($B92,'Privacy Analyst Evaluation'!$A$46:$F$120,4,0),""))&amp;""</f>
        <v/>
      </c>
      <c r="F92" s="241" t="str">
        <f>IFERROR(VLOOKUP($B92,'Institution Evaluation'!$A$55:$F$345,6,0),IFERROR(VLOOKUP($B92,'Privacy Analyst Evaluation'!$A$46:$F$120,6,0),""))&amp;""</f>
        <v/>
      </c>
      <c r="G92" s="242"/>
      <c r="H92" s="241" t="str">
        <f>IFERROR(IF($H91+1&gt;'(backend scoring)'!$Q$335,"",$H91+1),"")</f>
        <v/>
      </c>
      <c r="I92" s="241" t="str">
        <f>_xlfn.XLOOKUP($H92,'(backend scoring)'!$S$2:$S$333,'(backend scoring)'!$A$2:$A$333,"")</f>
        <v/>
      </c>
      <c r="J92" s="241" t="str">
        <f>IFERROR(VLOOKUP($I92,'Institution Evaluation'!$A$55:$F$345,2,0),IFERROR(VLOOKUP($I92,'Privacy Analyst Evaluation'!$A$46:$F$120,2,0),""))</f>
        <v/>
      </c>
      <c r="K92" s="241" t="str">
        <f>IFERROR(VLOOKUP($I92,'Institution Evaluation'!$A$55:$F$345,3,0),IFERROR(VLOOKUP($I92,'Privacy Analyst Evaluation'!$A$46:$F$120,3,0),""))&amp;""</f>
        <v/>
      </c>
      <c r="L92" s="241" t="str">
        <f>IFERROR(VLOOKUP($I92,'Institution Evaluation'!$A$55:$F$345,4,0),IFERROR(VLOOKUP($I92,'Privacy Analyst Evaluation'!$A$46:$F$120,4,0),""))&amp;""</f>
        <v/>
      </c>
      <c r="M92" s="241" t="str">
        <f>IFERROR(VLOOKUP($I92,'Institution Evaluation'!$A$55:$F$345,6,0),IFERROR(VLOOKUP($I92,'Privacy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60" customHeight="1" x14ac:dyDescent="0.2">
      <c r="A93" s="241">
        <f>IFERROR(IF($A92+1&gt;'(backend scoring)'!$T$335,"",$A92+1),"")</f>
        <v>69</v>
      </c>
      <c r="B93" s="241" t="str">
        <f>_xlfn.XLOOKUP($A93,'(backend scoring)'!$V$2:$V$333,'(backend scoring)'!$A$2:$A$333,"")</f>
        <v>PRPO-12</v>
      </c>
      <c r="C93" s="241" t="str">
        <f>IFERROR(VLOOKUP($B93,'Institution Evaluation'!$A$55:$F$345,2,0),IFERROR(VLOOKUP($B93,'Privacy Analyst Evaluation'!$A$46:$F$120,2,0),""))&amp;""</f>
        <v>Do you share any institutional data with law enforcement without a valid warrant or subpoena?*</v>
      </c>
      <c r="D93" s="241" t="str">
        <f>IFERROR(VLOOKUP($B93,'Institution Evaluation'!$A$55:$F$345,3,0),IFERROR(VLOOKUP($B93,'Privacy Analyst Evaluation'!$A$46:$F$120,3,0),""))&amp;""</f>
        <v>No</v>
      </c>
      <c r="E93" s="241" t="str">
        <f>IFERROR(VLOOKUP($B93,'Institution Evaluation'!$A$55:$F$345,4,0),IFERROR(VLOOKUP($B93,'Privacy Analyst Evaluation'!$A$46:$F$120,4,0),""))&amp;""</f>
        <v/>
      </c>
      <c r="F93" s="241" t="str">
        <f>IFERROR(VLOOKUP($B93,'Institution Evaluation'!$A$55:$F$345,6,0),IFERROR(VLOOKUP($B93,'Privacy Analyst Evaluation'!$A$46:$F$120,6,0),""))&amp;""</f>
        <v/>
      </c>
      <c r="G93" s="242"/>
      <c r="H93" s="241" t="str">
        <f>IFERROR(IF($H92+1&gt;'(backend scoring)'!$Q$335,"",$H92+1),"")</f>
        <v/>
      </c>
      <c r="I93" s="241" t="str">
        <f>_xlfn.XLOOKUP($H93,'(backend scoring)'!$S$2:$S$333,'(backend scoring)'!$A$2:$A$333,"")</f>
        <v/>
      </c>
      <c r="J93" s="241" t="str">
        <f>IFERROR(VLOOKUP($I93,'Institution Evaluation'!$A$55:$F$345,2,0),IFERROR(VLOOKUP($I93,'Privacy Analyst Evaluation'!$A$46:$F$120,2,0),""))</f>
        <v/>
      </c>
      <c r="K93" s="241" t="str">
        <f>IFERROR(VLOOKUP($I93,'Institution Evaluation'!$A$55:$F$345,3,0),IFERROR(VLOOKUP($I93,'Privacy Analyst Evaluation'!$A$46:$F$120,3,0),""))&amp;""</f>
        <v/>
      </c>
      <c r="L93" s="241" t="str">
        <f>IFERROR(VLOOKUP($I93,'Institution Evaluation'!$A$55:$F$345,4,0),IFERROR(VLOOKUP($I93,'Privacy Analyst Evaluation'!$A$46:$F$120,4,0),""))&amp;""</f>
        <v/>
      </c>
      <c r="M93" s="241" t="str">
        <f>IFERROR(VLOOKUP($I93,'Institution Evaluation'!$A$55:$F$345,6,0),IFERROR(VLOOKUP($I93,'Privacy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30" customHeight="1" x14ac:dyDescent="0.2">
      <c r="A94" s="241">
        <f>IFERROR(IF($A93+1&gt;'(backend scoring)'!$T$335,"",$A93+1),"")</f>
        <v>70</v>
      </c>
      <c r="B94" s="241" t="str">
        <f>_xlfn.XLOOKUP($A94,'(backend scoring)'!$V$2:$V$333,'(backend scoring)'!$A$2:$A$333,"")</f>
        <v>DPAI-02</v>
      </c>
      <c r="C94" s="241" t="str">
        <f>IFERROR(VLOOKUP($B94,'Institution Evaluation'!$A$55:$F$345,2,0),IFERROR(VLOOKUP($B94,'Privacy Analyst Evaluation'!$A$46:$F$120,2,0),""))&amp;""</f>
        <v>Is any institutional data retained in AI processing?*</v>
      </c>
      <c r="D94" s="241" t="str">
        <f>IFERROR(VLOOKUP($B94,'Institution Evaluation'!$A$55:$F$345,3,0),IFERROR(VLOOKUP($B94,'Privacy Analyst Evaluation'!$A$46:$F$120,3,0),""))&amp;""</f>
        <v>N/A</v>
      </c>
      <c r="E94" s="241" t="str">
        <f>IFERROR(VLOOKUP($B94,'Institution Evaluation'!$A$55:$F$345,4,0),IFERROR(VLOOKUP($B94,'Privacy Analyst Evaluation'!$A$46:$F$120,4,0),""))&amp;""</f>
        <v>This question does not apply.</v>
      </c>
      <c r="F94" s="241" t="str">
        <f>IFERROR(VLOOKUP($B94,'Institution Evaluation'!$A$55:$F$345,6,0),IFERROR(VLOOKUP($B94,'Privacy Analyst Evaluation'!$A$46:$F$120,6,0),""))&amp;""</f>
        <v/>
      </c>
      <c r="G94" s="242"/>
      <c r="H94" s="241" t="str">
        <f>IFERROR(IF($H93+1&gt;'(backend scoring)'!$Q$335,"",$H93+1),"")</f>
        <v/>
      </c>
      <c r="I94" s="241" t="str">
        <f>_xlfn.XLOOKUP($H94,'(backend scoring)'!$S$2:$S$333,'(backend scoring)'!$A$2:$A$333,"")</f>
        <v/>
      </c>
      <c r="J94" s="241" t="str">
        <f>IFERROR(VLOOKUP($I94,'Institution Evaluation'!$A$55:$F$345,2,0),IFERROR(VLOOKUP($I94,'Privacy Analyst Evaluation'!$A$46:$F$120,2,0),""))</f>
        <v/>
      </c>
      <c r="K94" s="241" t="str">
        <f>IFERROR(VLOOKUP($I94,'Institution Evaluation'!$A$55:$F$345,3,0),IFERROR(VLOOKUP($I94,'Privacy Analyst Evaluation'!$A$46:$F$120,3,0),""))&amp;""</f>
        <v/>
      </c>
      <c r="L94" s="241" t="str">
        <f>IFERROR(VLOOKUP($I94,'Institution Evaluation'!$A$55:$F$345,4,0),IFERROR(VLOOKUP($I94,'Privacy Analyst Evaluation'!$A$46:$F$120,4,0),""))&amp;""</f>
        <v/>
      </c>
      <c r="M94" s="241" t="str">
        <f>IFERROR(VLOOKUP($I94,'Institution Evaluation'!$A$55:$F$345,6,0),IFERROR(VLOOKUP($I94,'Privacy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75" customHeight="1" x14ac:dyDescent="0.2">
      <c r="A95" s="241">
        <f>IFERROR(IF($A94+1&gt;'(backend scoring)'!$T$335,"",$A94+1),"")</f>
        <v>71</v>
      </c>
      <c r="B95" s="241" t="str">
        <f>_xlfn.XLOOKUP($A95,'(backend scoring)'!$V$2:$V$333,'(backend scoring)'!$A$2:$A$333,"")</f>
        <v>DPAI-03</v>
      </c>
      <c r="C95" s="241" t="str">
        <f>IFERROR(VLOOKUP($B95,'Institution Evaluation'!$A$55:$F$345,2,0),IFERROR(VLOOKUP($B95,'Privacy Analyst Evaluation'!$A$46:$F$120,2,0),""))&amp;""</f>
        <v>Do you have agreements in place with third parties or subprocessors regarding the protection of customer data and use of AI?*</v>
      </c>
      <c r="D95" s="241" t="str">
        <f>IFERROR(VLOOKUP($B95,'Institution Evaluation'!$A$55:$F$345,3,0),IFERROR(VLOOKUP($B95,'Privacy Analyst Evaluation'!$A$46:$F$120,3,0),""))&amp;""</f>
        <v>N/A</v>
      </c>
      <c r="E95" s="241" t="str">
        <f>IFERROR(VLOOKUP($B95,'Institution Evaluation'!$A$55:$F$345,4,0),IFERROR(VLOOKUP($B95,'Privacy Analyst Evaluation'!$A$46:$F$120,4,0),""))&amp;""</f>
        <v>This question does not apply.</v>
      </c>
      <c r="F95" s="241" t="str">
        <f>IFERROR(VLOOKUP($B95,'Institution Evaluation'!$A$55:$F$345,6,0),IFERROR(VLOOKUP($B95,'Privacy Analyst Evaluation'!$A$46:$F$120,6,0),""))&amp;""</f>
        <v/>
      </c>
      <c r="G95" s="242"/>
      <c r="H95" s="241" t="str">
        <f>IFERROR(IF($H94+1&gt;'(backend scoring)'!$Q$335,"",$H94+1),"")</f>
        <v/>
      </c>
      <c r="I95" s="241" t="str">
        <f>_xlfn.XLOOKUP($H95,'(backend scoring)'!$S$2:$S$333,'(backend scoring)'!$A$2:$A$333,"")</f>
        <v/>
      </c>
      <c r="J95" s="241" t="str">
        <f>IFERROR(VLOOKUP($I95,'Institution Evaluation'!$A$55:$F$345,2,0),IFERROR(VLOOKUP($I95,'Privacy Analyst Evaluation'!$A$46:$F$120,2,0),""))</f>
        <v/>
      </c>
      <c r="K95" s="241" t="str">
        <f>IFERROR(VLOOKUP($I95,'Institution Evaluation'!$A$55:$F$345,3,0),IFERROR(VLOOKUP($I95,'Privacy Analyst Evaluation'!$A$46:$F$120,3,0),""))&amp;""</f>
        <v/>
      </c>
      <c r="L95" s="241" t="str">
        <f>IFERROR(VLOOKUP($I95,'Institution Evaluation'!$A$55:$F$345,4,0),IFERROR(VLOOKUP($I95,'Privacy Analyst Evaluation'!$A$46:$F$120,4,0),""))&amp;""</f>
        <v/>
      </c>
      <c r="M95" s="241" t="str">
        <f>IFERROR(VLOOKUP($I95,'Institution Evaluation'!$A$55:$F$345,6,0),IFERROR(VLOOKUP($I95,'Privacy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60" customHeight="1" x14ac:dyDescent="0.2">
      <c r="A96" s="241">
        <f>IFERROR(IF($A95+1&gt;'(backend scoring)'!$T$335,"",$A95+1),"")</f>
        <v>72</v>
      </c>
      <c r="B96" s="241" t="str">
        <f>_xlfn.XLOOKUP($A96,'(backend scoring)'!$V$2:$V$333,'(backend scoring)'!$A$2:$A$333,"")</f>
        <v>AIGN-01</v>
      </c>
      <c r="C96" s="241" t="str">
        <f>IFERROR(VLOOKUP($B96,'Institution Evaluation'!$A$55:$F$345,2,0),IFERROR(VLOOKUP($B96,'Privacy Analyst Evaluation'!$A$46:$F$120,2,0),""))&amp;""</f>
        <v>Does your solution have an AI risk model when developing or implementing your solution's AI model?*</v>
      </c>
      <c r="D96" s="241" t="str">
        <f>IFERROR(VLOOKUP($B96,'Institution Evaluation'!$A$55:$F$345,3,0),IFERROR(VLOOKUP($B96,'Privacy Analyst Evaluation'!$A$46:$F$120,3,0),""))&amp;""</f>
        <v>N/A</v>
      </c>
      <c r="E96" s="241" t="str">
        <f>IFERROR(VLOOKUP($B96,'Institution Evaluation'!$A$55:$F$345,4,0),IFERROR(VLOOKUP($B96,'Privacy Analyst Evaluation'!$A$46:$F$120,4,0),""))&amp;""</f>
        <v>This question does not apply.</v>
      </c>
      <c r="F96" s="241" t="str">
        <f>IFERROR(VLOOKUP($B96,'Institution Evaluation'!$A$55:$F$345,6,0),IFERROR(VLOOKUP($B96,'Privacy Analyst Evaluation'!$A$46:$F$120,6,0),""))&amp;""</f>
        <v/>
      </c>
      <c r="G96" s="242"/>
      <c r="H96" s="241" t="str">
        <f>IFERROR(IF($H95+1&gt;'(backend scoring)'!$Q$335,"",$H95+1),"")</f>
        <v/>
      </c>
      <c r="I96" s="241" t="str">
        <f>_xlfn.XLOOKUP($H96,'(backend scoring)'!$S$2:$S$333,'(backend scoring)'!$A$2:$A$333,"")</f>
        <v/>
      </c>
      <c r="J96" s="241" t="str">
        <f>IFERROR(VLOOKUP($I96,'Institution Evaluation'!$A$55:$F$345,2,0),IFERROR(VLOOKUP($I96,'Privacy Analyst Evaluation'!$A$46:$F$120,2,0),""))</f>
        <v/>
      </c>
      <c r="K96" s="241" t="str">
        <f>IFERROR(VLOOKUP($I96,'Institution Evaluation'!$A$55:$F$345,3,0),IFERROR(VLOOKUP($I96,'Privacy Analyst Evaluation'!$A$46:$F$120,3,0),""))&amp;""</f>
        <v/>
      </c>
      <c r="L96" s="241" t="str">
        <f>IFERROR(VLOOKUP($I96,'Institution Evaluation'!$A$55:$F$345,4,0),IFERROR(VLOOKUP($I96,'Privacy Analyst Evaluation'!$A$46:$F$120,4,0),""))&amp;""</f>
        <v/>
      </c>
      <c r="M96" s="241" t="str">
        <f>IFERROR(VLOOKUP($I96,'Institution Evaluation'!$A$55:$F$345,6,0),IFERROR(VLOOKUP($I96,'Privacy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45" customHeight="1" x14ac:dyDescent="0.2">
      <c r="A97" s="241">
        <f>IFERROR(IF($A96+1&gt;'(backend scoring)'!$T$335,"",$A96+1),"")</f>
        <v>73</v>
      </c>
      <c r="B97" s="241" t="str">
        <f>_xlfn.XLOOKUP($A97,'(backend scoring)'!$V$2:$V$333,'(backend scoring)'!$A$2:$A$333,"")</f>
        <v>AIGN-02</v>
      </c>
      <c r="C97" s="241" t="str">
        <f>IFERROR(VLOOKUP($B97,'Institution Evaluation'!$A$55:$F$345,2,0),IFERROR(VLOOKUP($B97,'Privacy Analyst Evaluation'!$A$46:$F$120,2,0),""))&amp;""</f>
        <v>Can your solution's AI features be disabled by tenant and/or user?*</v>
      </c>
      <c r="D97" s="241" t="str">
        <f>IFERROR(VLOOKUP($B97,'Institution Evaluation'!$A$55:$F$345,3,0),IFERROR(VLOOKUP($B97,'Privacy Analyst Evaluation'!$A$46:$F$120,3,0),""))&amp;""</f>
        <v>N/A</v>
      </c>
      <c r="E97" s="241" t="str">
        <f>IFERROR(VLOOKUP($B97,'Institution Evaluation'!$A$55:$F$345,4,0),IFERROR(VLOOKUP($B97,'Privacy Analyst Evaluation'!$A$46:$F$120,4,0),""))&amp;""</f>
        <v>This question does not apply.</v>
      </c>
      <c r="F97" s="241" t="str">
        <f>IFERROR(VLOOKUP($B97,'Institution Evaluation'!$A$55:$F$345,6,0),IFERROR(VLOOKUP($B97,'Privacy Analyst Evaluation'!$A$46:$F$120,6,0),""))&amp;""</f>
        <v/>
      </c>
      <c r="G97" s="242"/>
      <c r="H97" s="241" t="str">
        <f>IFERROR(IF($H96+1&gt;'(backend scoring)'!$Q$335,"",$H96+1),"")</f>
        <v/>
      </c>
      <c r="I97" s="241" t="str">
        <f>_xlfn.XLOOKUP($H97,'(backend scoring)'!$S$2:$S$333,'(backend scoring)'!$A$2:$A$333,"")</f>
        <v/>
      </c>
      <c r="J97" s="241" t="str">
        <f>IFERROR(VLOOKUP($I97,'Institution Evaluation'!$A$55:$F$345,2,0),IFERROR(VLOOKUP($I97,'Privacy Analyst Evaluation'!$A$46:$F$120,2,0),""))</f>
        <v/>
      </c>
      <c r="K97" s="241" t="str">
        <f>IFERROR(VLOOKUP($I97,'Institution Evaluation'!$A$55:$F$345,3,0),IFERROR(VLOOKUP($I97,'Privacy Analyst Evaluation'!$A$46:$F$120,3,0),""))&amp;""</f>
        <v/>
      </c>
      <c r="L97" s="241" t="str">
        <f>IFERROR(VLOOKUP($I97,'Institution Evaluation'!$A$55:$F$345,4,0),IFERROR(VLOOKUP($I97,'Privacy Analyst Evaluation'!$A$46:$F$120,4,0),""))&amp;""</f>
        <v/>
      </c>
      <c r="M97" s="241" t="str">
        <f>IFERROR(VLOOKUP($I97,'Institution Evaluation'!$A$55:$F$345,6,0),IFERROR(VLOOKUP($I97,'Privacy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30" customHeight="1" x14ac:dyDescent="0.2">
      <c r="A98" s="241">
        <f>IFERROR(IF($A97+1&gt;'(backend scoring)'!$T$335,"",$A97+1),"")</f>
        <v>74</v>
      </c>
      <c r="B98" s="241" t="str">
        <f>_xlfn.XLOOKUP($A98,'(backend scoring)'!$V$2:$V$333,'(backend scoring)'!$A$2:$A$333,"")</f>
        <v>AIGN-03</v>
      </c>
      <c r="C98" s="241" t="str">
        <f>IFERROR(VLOOKUP($B98,'Institution Evaluation'!$A$55:$F$345,2,0),IFERROR(VLOOKUP($B98,'Privacy Analyst Evaluation'!$A$46:$F$120,2,0),""))&amp;""</f>
        <v>Have your staff completed responsible AI training?*</v>
      </c>
      <c r="D98" s="241" t="str">
        <f>IFERROR(VLOOKUP($B98,'Institution Evaluation'!$A$55:$F$345,3,0),IFERROR(VLOOKUP($B98,'Privacy Analyst Evaluation'!$A$46:$F$120,3,0),""))&amp;""</f>
        <v>N/A</v>
      </c>
      <c r="E98" s="241" t="str">
        <f>IFERROR(VLOOKUP($B98,'Institution Evaluation'!$A$55:$F$345,4,0),IFERROR(VLOOKUP($B98,'Privacy Analyst Evaluation'!$A$46:$F$120,4,0),""))&amp;""</f>
        <v>This question does not apply.</v>
      </c>
      <c r="F98" s="241" t="str">
        <f>IFERROR(VLOOKUP($B98,'Institution Evaluation'!$A$55:$F$345,6,0),IFERROR(VLOOKUP($B98,'Privacy Analyst Evaluation'!$A$46:$F$120,6,0),""))&amp;""</f>
        <v/>
      </c>
      <c r="G98" s="242"/>
      <c r="H98" s="241" t="str">
        <f>IFERROR(IF($H97+1&gt;'(backend scoring)'!$Q$335,"",$H97+1),"")</f>
        <v/>
      </c>
      <c r="I98" s="241" t="str">
        <f>_xlfn.XLOOKUP($H98,'(backend scoring)'!$S$2:$S$333,'(backend scoring)'!$A$2:$A$333,"")</f>
        <v/>
      </c>
      <c r="J98" s="241" t="str">
        <f>IFERROR(VLOOKUP($I98,'Institution Evaluation'!$A$55:$F$345,2,0),IFERROR(VLOOKUP($I98,'Privacy Analyst Evaluation'!$A$46:$F$120,2,0),""))</f>
        <v/>
      </c>
      <c r="K98" s="241" t="str">
        <f>IFERROR(VLOOKUP($I98,'Institution Evaluation'!$A$55:$F$345,3,0),IFERROR(VLOOKUP($I98,'Privacy Analyst Evaluation'!$A$46:$F$120,3,0),""))&amp;""</f>
        <v/>
      </c>
      <c r="L98" s="241" t="str">
        <f>IFERROR(VLOOKUP($I98,'Institution Evaluation'!$A$55:$F$345,4,0),IFERROR(VLOOKUP($I98,'Privacy Analyst Evaluation'!$A$46:$F$120,4,0),""))&amp;""</f>
        <v/>
      </c>
      <c r="M98" s="241" t="str">
        <f>IFERROR(VLOOKUP($I98,'Institution Evaluation'!$A$55:$F$345,6,0),IFERROR(VLOOKUP($I98,'Privacy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120" customHeight="1" x14ac:dyDescent="0.2">
      <c r="A99" s="241">
        <f>IFERROR(IF($A98+1&gt;'(backend scoring)'!$T$335,"",$A98+1),"")</f>
        <v>75</v>
      </c>
      <c r="B99" s="241" t="str">
        <f>_xlfn.XLOOKUP($A99,'(backend scoring)'!$V$2:$V$333,'(backend scoring)'!$A$2:$A$333,"")</f>
        <v>AIPL-01</v>
      </c>
      <c r="C99" s="241" t="str">
        <f>IFERROR(VLOOKUP($B99,'Institution Evaluation'!$A$55:$F$345,2,0),IFERROR(VLOOKUP($B99,'Privacy Analyst Evaluation'!$A$46:$F$120,2,0),""))&amp;""</f>
        <v>Are your AI developer's policies, processes, procedures, and practices across the organization related to the mapping, measuring, and managing of AI risks conspicuously posted, unambiguous, and implemented effectively?*</v>
      </c>
      <c r="D99" s="241" t="str">
        <f>IFERROR(VLOOKUP($B99,'Institution Evaluation'!$A$55:$F$345,3,0),IFERROR(VLOOKUP($B99,'Privacy Analyst Evaluation'!$A$46:$F$120,3,0),""))&amp;""</f>
        <v>N/A</v>
      </c>
      <c r="E99" s="241" t="str">
        <f>IFERROR(VLOOKUP($B99,'Institution Evaluation'!$A$55:$F$345,4,0),IFERROR(VLOOKUP($B99,'Privacy Analyst Evaluation'!$A$46:$F$120,4,0),""))&amp;""</f>
        <v>This question does not apply.</v>
      </c>
      <c r="F99" s="241" t="str">
        <f>IFERROR(VLOOKUP($B99,'Institution Evaluation'!$A$55:$F$345,6,0),IFERROR(VLOOKUP($B99,'Privacy Analyst Evaluation'!$A$46:$F$120,6,0),""))&amp;""</f>
        <v/>
      </c>
      <c r="G99" s="242"/>
      <c r="H99" s="241" t="str">
        <f>IFERROR(IF($H98+1&gt;'(backend scoring)'!$Q$335,"",$H98+1),"")</f>
        <v/>
      </c>
      <c r="I99" s="241" t="str">
        <f>_xlfn.XLOOKUP($H99,'(backend scoring)'!$S$2:$S$333,'(backend scoring)'!$A$2:$A$333,"")</f>
        <v/>
      </c>
      <c r="J99" s="241" t="str">
        <f>IFERROR(VLOOKUP($I99,'Institution Evaluation'!$A$55:$F$345,2,0),IFERROR(VLOOKUP($I99,'Privacy Analyst Evaluation'!$A$46:$F$120,2,0),""))</f>
        <v/>
      </c>
      <c r="K99" s="241" t="str">
        <f>IFERROR(VLOOKUP($I99,'Institution Evaluation'!$A$55:$F$345,3,0),IFERROR(VLOOKUP($I99,'Privacy Analyst Evaluation'!$A$46:$F$120,3,0),""))&amp;""</f>
        <v/>
      </c>
      <c r="L99" s="241" t="str">
        <f>IFERROR(VLOOKUP($I99,'Institution Evaluation'!$A$55:$F$345,4,0),IFERROR(VLOOKUP($I99,'Privacy Analyst Evaluation'!$A$46:$F$120,4,0),""))&amp;""</f>
        <v/>
      </c>
      <c r="M99" s="241" t="str">
        <f>IFERROR(VLOOKUP($I99,'Institution Evaluation'!$A$55:$F$345,6,0),IFERROR(VLOOKUP($I99,'Privacy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30" customHeight="1" x14ac:dyDescent="0.2">
      <c r="A100" s="241">
        <f>IFERROR(IF($A99+1&gt;'(backend scoring)'!$T$335,"",$A99+1),"")</f>
        <v>76</v>
      </c>
      <c r="B100" s="241" t="str">
        <f>_xlfn.XLOOKUP($A100,'(backend scoring)'!$V$2:$V$333,'(backend scoring)'!$A$2:$A$333,"")</f>
        <v>AIPL-02</v>
      </c>
      <c r="C100" s="241" t="str">
        <f>IFERROR(VLOOKUP($B100,'Institution Evaluation'!$A$55:$F$345,2,0),IFERROR(VLOOKUP($B100,'Privacy Analyst Evaluation'!$A$46:$F$120,2,0),""))&amp;""</f>
        <v>Have you identified and measured AI risks?*</v>
      </c>
      <c r="D100" s="241" t="str">
        <f>IFERROR(VLOOKUP($B100,'Institution Evaluation'!$A$55:$F$345,3,0),IFERROR(VLOOKUP($B100,'Privacy Analyst Evaluation'!$A$46:$F$120,3,0),""))&amp;""</f>
        <v>N/A</v>
      </c>
      <c r="E100" s="241" t="str">
        <f>IFERROR(VLOOKUP($B100,'Institution Evaluation'!$A$55:$F$345,4,0),IFERROR(VLOOKUP($B100,'Privacy Analyst Evaluation'!$A$46:$F$120,4,0),""))&amp;""</f>
        <v>This question does not apply.</v>
      </c>
      <c r="F100" s="241" t="str">
        <f>IFERROR(VLOOKUP($B100,'Institution Evaluation'!$A$55:$F$345,6,0),IFERROR(VLOOKUP($B100,'Privacy Analyst Evaluation'!$A$46:$F$120,6,0),""))&amp;""</f>
        <v/>
      </c>
      <c r="G100" s="242"/>
      <c r="H100" s="241" t="str">
        <f>IFERROR(IF($H99+1&gt;'(backend scoring)'!$Q$335,"",$H99+1),"")</f>
        <v/>
      </c>
      <c r="I100" s="241" t="str">
        <f>_xlfn.XLOOKUP($H100,'(backend scoring)'!$S$2:$S$333,'(backend scoring)'!$A$2:$A$333,"")</f>
        <v/>
      </c>
      <c r="J100" s="241" t="str">
        <f>IFERROR(VLOOKUP($I100,'Institution Evaluation'!$A$55:$F$345,2,0),IFERROR(VLOOKUP($I100,'Privacy Analyst Evaluation'!$A$46:$F$120,2,0),""))</f>
        <v/>
      </c>
      <c r="K100" s="241" t="str">
        <f>IFERROR(VLOOKUP($I100,'Institution Evaluation'!$A$55:$F$345,3,0),IFERROR(VLOOKUP($I100,'Privacy Analyst Evaluation'!$A$46:$F$120,3,0),""))&amp;""</f>
        <v/>
      </c>
      <c r="L100" s="241" t="str">
        <f>IFERROR(VLOOKUP($I100,'Institution Evaluation'!$A$55:$F$345,4,0),IFERROR(VLOOKUP($I100,'Privacy Analyst Evaluation'!$A$46:$F$120,4,0),""))&amp;""</f>
        <v/>
      </c>
      <c r="M100" s="241" t="str">
        <f>IFERROR(VLOOKUP($I100,'Institution Evaluation'!$A$55:$F$345,6,0),IFERROR(VLOOKUP($I100,'Privacy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45" customHeight="1" x14ac:dyDescent="0.2">
      <c r="A101" s="241">
        <f>IFERROR(IF($A100+1&gt;'(backend scoring)'!$T$335,"",$A100+1),"")</f>
        <v>77</v>
      </c>
      <c r="B101" s="241" t="str">
        <f>_xlfn.XLOOKUP($A101,'(backend scoring)'!$V$2:$V$333,'(backend scoring)'!$A$2:$A$333,"")</f>
        <v>AIPL-03</v>
      </c>
      <c r="C101" s="241" t="str">
        <f>IFERROR(VLOOKUP($B101,'Institution Evaluation'!$A$55:$F$345,2,0),IFERROR(VLOOKUP($B101,'Privacy Analyst Evaluation'!$A$46:$F$120,2,0),""))&amp;""</f>
        <v>In the event of an incident, can your solution's AI features be disabled in a timely manner?*</v>
      </c>
      <c r="D101" s="241" t="str">
        <f>IFERROR(VLOOKUP($B101,'Institution Evaluation'!$A$55:$F$345,3,0),IFERROR(VLOOKUP($B101,'Privacy Analyst Evaluation'!$A$46:$F$120,3,0),""))&amp;""</f>
        <v>N/A</v>
      </c>
      <c r="E101" s="241" t="str">
        <f>IFERROR(VLOOKUP($B101,'Institution Evaluation'!$A$55:$F$345,4,0),IFERROR(VLOOKUP($B101,'Privacy Analyst Evaluation'!$A$46:$F$120,4,0),""))&amp;""</f>
        <v>This question does not apply.</v>
      </c>
      <c r="F101" s="241" t="str">
        <f>IFERROR(VLOOKUP($B101,'Institution Evaluation'!$A$55:$F$345,6,0),IFERROR(VLOOKUP($B101,'Privacy Analyst Evaluation'!$A$46:$F$120,6,0),""))&amp;""</f>
        <v/>
      </c>
      <c r="G101" s="242"/>
      <c r="H101" s="241" t="str">
        <f>IFERROR(IF($H100+1&gt;'(backend scoring)'!$Q$335,"",$H100+1),"")</f>
        <v/>
      </c>
      <c r="I101" s="241" t="str">
        <f>_xlfn.XLOOKUP($H101,'(backend scoring)'!$S$2:$S$333,'(backend scoring)'!$A$2:$A$333,"")</f>
        <v/>
      </c>
      <c r="J101" s="241" t="str">
        <f>IFERROR(VLOOKUP($I101,'Institution Evaluation'!$A$55:$F$345,2,0),IFERROR(VLOOKUP($I101,'Privacy Analyst Evaluation'!$A$46:$F$120,2,0),""))</f>
        <v/>
      </c>
      <c r="K101" s="241" t="str">
        <f>IFERROR(VLOOKUP($I101,'Institution Evaluation'!$A$55:$F$345,3,0),IFERROR(VLOOKUP($I101,'Privacy Analyst Evaluation'!$A$46:$F$120,3,0),""))&amp;""</f>
        <v/>
      </c>
      <c r="L101" s="241" t="str">
        <f>IFERROR(VLOOKUP($I101,'Institution Evaluation'!$A$55:$F$345,4,0),IFERROR(VLOOKUP($I101,'Privacy Analyst Evaluation'!$A$46:$F$120,4,0),""))&amp;""</f>
        <v/>
      </c>
      <c r="M101" s="241" t="str">
        <f>IFERROR(VLOOKUP($I101,'Institution Evaluation'!$A$55:$F$345,6,0),IFERROR(VLOOKUP($I101,'Privacy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60" customHeight="1" x14ac:dyDescent="0.2">
      <c r="A102" s="241">
        <f>IFERROR(IF($A101+1&gt;'(backend scoring)'!$T$335,"",$A101+1),"")</f>
        <v>78</v>
      </c>
      <c r="B102" s="241" t="str">
        <f>_xlfn.XLOOKUP($A102,'(backend scoring)'!$V$2:$V$333,'(backend scoring)'!$A$2:$A$333,"")</f>
        <v>AIPL-04</v>
      </c>
      <c r="C102" s="241" t="str">
        <f>IFERROR(VLOOKUP($B102,'Institution Evaluation'!$A$55:$F$345,2,0),IFERROR(VLOOKUP($B102,'Privacy Analyst Evaluation'!$A$46:$F$120,2,0),""))&amp;""</f>
        <v>If disabled because of an incident, can your solution's AI features be re-enabled in a timely manner?*</v>
      </c>
      <c r="D102" s="241" t="str">
        <f>IFERROR(VLOOKUP($B102,'Institution Evaluation'!$A$55:$F$345,3,0),IFERROR(VLOOKUP($B102,'Privacy Analyst Evaluation'!$A$46:$F$120,3,0),""))&amp;""</f>
        <v>N/A</v>
      </c>
      <c r="E102" s="241" t="str">
        <f>IFERROR(VLOOKUP($B102,'Institution Evaluation'!$A$55:$F$345,4,0),IFERROR(VLOOKUP($B102,'Privacy Analyst Evaluation'!$A$46:$F$120,4,0),""))&amp;""</f>
        <v>This question does not apply.</v>
      </c>
      <c r="F102" s="241" t="str">
        <f>IFERROR(VLOOKUP($B102,'Institution Evaluation'!$A$55:$F$345,6,0),IFERROR(VLOOKUP($B102,'Privacy Analyst Evaluation'!$A$46:$F$120,6,0),""))&amp;""</f>
        <v/>
      </c>
      <c r="G102" s="242"/>
      <c r="H102" s="241" t="str">
        <f>IFERROR(IF($H101+1&gt;'(backend scoring)'!$Q$335,"",$H101+1),"")</f>
        <v/>
      </c>
      <c r="I102" s="241" t="str">
        <f>_xlfn.XLOOKUP($H102,'(backend scoring)'!$S$2:$S$333,'(backend scoring)'!$A$2:$A$333,"")</f>
        <v/>
      </c>
      <c r="J102" s="241" t="str">
        <f>IFERROR(VLOOKUP($I102,'Institution Evaluation'!$A$55:$F$345,2,0),IFERROR(VLOOKUP($I102,'Privacy Analyst Evaluation'!$A$46:$F$120,2,0),""))</f>
        <v/>
      </c>
      <c r="K102" s="241" t="str">
        <f>IFERROR(VLOOKUP($I102,'Institution Evaluation'!$A$55:$F$345,3,0),IFERROR(VLOOKUP($I102,'Privacy Analyst Evaluation'!$A$46:$F$120,3,0),""))&amp;""</f>
        <v/>
      </c>
      <c r="L102" s="241" t="str">
        <f>IFERROR(VLOOKUP($I102,'Institution Evaluation'!$A$55:$F$345,4,0),IFERROR(VLOOKUP($I102,'Privacy Analyst Evaluation'!$A$46:$F$120,4,0),""))&amp;""</f>
        <v/>
      </c>
      <c r="M102" s="241" t="str">
        <f>IFERROR(VLOOKUP($I102,'Institution Evaluation'!$A$55:$F$345,6,0),IFERROR(VLOOKUP($I102,'Privacy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customHeight="1" x14ac:dyDescent="0.2">
      <c r="A103" s="241">
        <f>IFERROR(IF($A102+1&gt;'(backend scoring)'!$T$335,"",$A102+1),"")</f>
        <v>79</v>
      </c>
      <c r="B103" s="241" t="str">
        <f>_xlfn.XLOOKUP($A103,'(backend scoring)'!$V$2:$V$333,'(backend scoring)'!$A$2:$A$333,"")</f>
        <v>AISC-01</v>
      </c>
      <c r="C103" s="241" t="str">
        <f>IFERROR(VLOOKUP($B103,'Institution Evaluation'!$A$55:$F$345,2,0),IFERROR(VLOOKUP($B103,'Privacy Analyst Evaluation'!$A$46:$F$120,2,0),""))&amp;""</f>
        <v>If sensitive data is introduced to your solution's AI model, can the data be removed from the AI model by request?*</v>
      </c>
      <c r="D103" s="241" t="str">
        <f>IFERROR(VLOOKUP($B103,'Institution Evaluation'!$A$55:$F$345,3,0),IFERROR(VLOOKUP($B103,'Privacy Analyst Evaluation'!$A$46:$F$120,3,0),""))&amp;""</f>
        <v>N/A</v>
      </c>
      <c r="E103" s="241" t="str">
        <f>IFERROR(VLOOKUP($B103,'Institution Evaluation'!$A$55:$F$345,4,0),IFERROR(VLOOKUP($B103,'Privacy Analyst Evaluation'!$A$46:$F$120,4,0),""))&amp;""</f>
        <v>This question does not apply.</v>
      </c>
      <c r="F103" s="241" t="str">
        <f>IFERROR(VLOOKUP($B103,'Institution Evaluation'!$A$55:$F$345,6,0),IFERROR(VLOOKUP($B103,'Privacy Analyst Evaluation'!$A$46:$F$120,6,0),""))&amp;""</f>
        <v/>
      </c>
      <c r="G103" s="242"/>
      <c r="H103" s="241" t="str">
        <f>IFERROR(IF($H102+1&gt;'(backend scoring)'!$Q$335,"",$H102+1),"")</f>
        <v/>
      </c>
      <c r="I103" s="241" t="str">
        <f>_xlfn.XLOOKUP($H103,'(backend scoring)'!$S$2:$S$333,'(backend scoring)'!$A$2:$A$333,"")</f>
        <v/>
      </c>
      <c r="J103" s="241" t="str">
        <f>IFERROR(VLOOKUP($I103,'Institution Evaluation'!$A$55:$F$345,2,0),IFERROR(VLOOKUP($I103,'Privacy Analyst Evaluation'!$A$46:$F$120,2,0),""))</f>
        <v/>
      </c>
      <c r="K103" s="241" t="str">
        <f>IFERROR(VLOOKUP($I103,'Institution Evaluation'!$A$55:$F$345,3,0),IFERROR(VLOOKUP($I103,'Privacy Analyst Evaluation'!$A$46:$F$120,3,0),""))&amp;""</f>
        <v/>
      </c>
      <c r="L103" s="241" t="str">
        <f>IFERROR(VLOOKUP($I103,'Institution Evaluation'!$A$55:$F$345,4,0),IFERROR(VLOOKUP($I103,'Privacy Analyst Evaluation'!$A$46:$F$120,4,0),""))&amp;""</f>
        <v/>
      </c>
      <c r="M103" s="241" t="str">
        <f>IFERROR(VLOOKUP($I103,'Institution Evaluation'!$A$55:$F$345,6,0),IFERROR(VLOOKUP($I103,'Privacy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45" customHeight="1" x14ac:dyDescent="0.2">
      <c r="A104" s="241">
        <f>IFERROR(IF($A103+1&gt;'(backend scoring)'!$T$335,"",$A103+1),"")</f>
        <v>80</v>
      </c>
      <c r="B104" s="241" t="str">
        <f>_xlfn.XLOOKUP($A104,'(backend scoring)'!$V$2:$V$333,'(backend scoring)'!$A$2:$A$333,"")</f>
        <v>AISC-02</v>
      </c>
      <c r="C104" s="241" t="str">
        <f>IFERROR(VLOOKUP($B104,'Institution Evaluation'!$A$55:$F$345,2,0),IFERROR(VLOOKUP($B104,'Privacy Analyst Evaluation'!$A$46:$F$120,2,0),""))&amp;""</f>
        <v>Is user input data used to influence your solution's AI model?*</v>
      </c>
      <c r="D104" s="241" t="str">
        <f>IFERROR(VLOOKUP($B104,'Institution Evaluation'!$A$55:$F$345,3,0),IFERROR(VLOOKUP($B104,'Privacy Analyst Evaluation'!$A$46:$F$120,3,0),""))&amp;""</f>
        <v>N/A</v>
      </c>
      <c r="E104" s="241" t="str">
        <f>IFERROR(VLOOKUP($B104,'Institution Evaluation'!$A$55:$F$345,4,0),IFERROR(VLOOKUP($B104,'Privacy Analyst Evaluation'!$A$46:$F$120,4,0),""))&amp;""</f>
        <v>This question does not apply.</v>
      </c>
      <c r="F104" s="241" t="str">
        <f>IFERROR(VLOOKUP($B104,'Institution Evaluation'!$A$55:$F$345,6,0),IFERROR(VLOOKUP($B104,'Privacy Analyst Evaluation'!$A$46:$F$120,6,0),""))&amp;""</f>
        <v/>
      </c>
      <c r="G104" s="242"/>
      <c r="H104" s="241" t="str">
        <f>IFERROR(IF($H103+1&gt;'(backend scoring)'!$Q$335,"",$H103+1),"")</f>
        <v/>
      </c>
      <c r="I104" s="241" t="str">
        <f>_xlfn.XLOOKUP($H104,'(backend scoring)'!$S$2:$S$333,'(backend scoring)'!$A$2:$A$333,"")</f>
        <v/>
      </c>
      <c r="J104" s="241" t="str">
        <f>IFERROR(VLOOKUP($I104,'Institution Evaluation'!$A$55:$F$345,2,0),IFERROR(VLOOKUP($I104,'Privacy Analyst Evaluation'!$A$46:$F$120,2,0),""))</f>
        <v/>
      </c>
      <c r="K104" s="241" t="str">
        <f>IFERROR(VLOOKUP($I104,'Institution Evaluation'!$A$55:$F$345,3,0),IFERROR(VLOOKUP($I104,'Privacy Analyst Evaluation'!$A$46:$F$120,3,0),""))&amp;""</f>
        <v/>
      </c>
      <c r="L104" s="241" t="str">
        <f>IFERROR(VLOOKUP($I104,'Institution Evaluation'!$A$55:$F$345,4,0),IFERROR(VLOOKUP($I104,'Privacy Analyst Evaluation'!$A$46:$F$120,4,0),""))&amp;""</f>
        <v/>
      </c>
      <c r="M104" s="241" t="str">
        <f>IFERROR(VLOOKUP($I104,'Institution Evaluation'!$A$55:$F$345,6,0),IFERROR(VLOOKUP($I104,'Privacy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60" customHeight="1" x14ac:dyDescent="0.2">
      <c r="A105" s="241">
        <f>IFERROR(IF($A104+1&gt;'(backend scoring)'!$T$335,"",$A104+1),"")</f>
        <v>81</v>
      </c>
      <c r="B105" s="241" t="str">
        <f>_xlfn.XLOOKUP($A105,'(backend scoring)'!$V$2:$V$333,'(backend scoring)'!$A$2:$A$333,"")</f>
        <v>AISC-03</v>
      </c>
      <c r="C105" s="241" t="str">
        <f>IFERROR(VLOOKUP($B105,'Institution Evaluation'!$A$55:$F$345,2,0),IFERROR(VLOOKUP($B105,'Privacy Analyst Evaluation'!$A$46:$F$120,2,0),""))&amp;""</f>
        <v>Do you provide logging for your solution's AI feature(s) that includes user, date, and action taken?*</v>
      </c>
      <c r="D105" s="241" t="str">
        <f>IFERROR(VLOOKUP($B105,'Institution Evaluation'!$A$55:$F$345,3,0),IFERROR(VLOOKUP($B105,'Privacy Analyst Evaluation'!$A$46:$F$120,3,0),""))&amp;""</f>
        <v>N/A</v>
      </c>
      <c r="E105" s="241" t="str">
        <f>IFERROR(VLOOKUP($B105,'Institution Evaluation'!$A$55:$F$345,4,0),IFERROR(VLOOKUP($B105,'Privacy Analyst Evaluation'!$A$46:$F$120,4,0),""))&amp;""</f>
        <v>This question does not apply.</v>
      </c>
      <c r="F105" s="241" t="str">
        <f>IFERROR(VLOOKUP($B105,'Institution Evaluation'!$A$55:$F$345,6,0),IFERROR(VLOOKUP($B105,'Privacy Analyst Evaluation'!$A$46:$F$120,6,0),""))&amp;""</f>
        <v/>
      </c>
      <c r="G105" s="242"/>
      <c r="H105" s="241" t="str">
        <f>IFERROR(IF($H104+1&gt;'(backend scoring)'!$Q$335,"",$H104+1),"")</f>
        <v/>
      </c>
      <c r="I105" s="241" t="str">
        <f>_xlfn.XLOOKUP($H105,'(backend scoring)'!$S$2:$S$333,'(backend scoring)'!$A$2:$A$333,"")</f>
        <v/>
      </c>
      <c r="J105" s="241" t="str">
        <f>IFERROR(VLOOKUP($I105,'Institution Evaluation'!$A$55:$F$345,2,0),IFERROR(VLOOKUP($I105,'Privacy Analyst Evaluation'!$A$46:$F$120,2,0),""))</f>
        <v/>
      </c>
      <c r="K105" s="241" t="str">
        <f>IFERROR(VLOOKUP($I105,'Institution Evaluation'!$A$55:$F$345,3,0),IFERROR(VLOOKUP($I105,'Privacy Analyst Evaluation'!$A$46:$F$120,3,0),""))&amp;""</f>
        <v/>
      </c>
      <c r="L105" s="241" t="str">
        <f>IFERROR(VLOOKUP($I105,'Institution Evaluation'!$A$55:$F$345,4,0),IFERROR(VLOOKUP($I105,'Privacy Analyst Evaluation'!$A$46:$F$120,4,0),""))&amp;""</f>
        <v/>
      </c>
      <c r="M105" s="241" t="str">
        <f>IFERROR(VLOOKUP($I105,'Institution Evaluation'!$A$55:$F$345,6,0),IFERROR(VLOOKUP($I105,'Privacy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30" customHeight="1" x14ac:dyDescent="0.2">
      <c r="A106" s="241">
        <f>IFERROR(IF($A105+1&gt;'(backend scoring)'!$T$335,"",$A105+1),"")</f>
        <v>82</v>
      </c>
      <c r="B106" s="241" t="str">
        <f>_xlfn.XLOOKUP($A106,'(backend scoring)'!$V$2:$V$333,'(backend scoring)'!$A$2:$A$333,"")</f>
        <v>AIML-01</v>
      </c>
      <c r="C106" s="241" t="str">
        <f>IFERROR(VLOOKUP($B106,'Institution Evaluation'!$A$55:$F$345,2,0),IFERROR(VLOOKUP($B106,'Privacy Analyst Evaluation'!$A$46:$F$120,2,0),""))&amp;""</f>
        <v>Do you separate ML training data from your ML solution data?*</v>
      </c>
      <c r="D106" s="241" t="str">
        <f>IFERROR(VLOOKUP($B106,'Institution Evaluation'!$A$55:$F$345,3,0),IFERROR(VLOOKUP($B106,'Privacy Analyst Evaluation'!$A$46:$F$120,3,0),""))&amp;""</f>
        <v>N/A</v>
      </c>
      <c r="E106" s="241" t="str">
        <f>IFERROR(VLOOKUP($B106,'Institution Evaluation'!$A$55:$F$345,4,0),IFERROR(VLOOKUP($B106,'Privacy Analyst Evaluation'!$A$46:$F$120,4,0),""))&amp;""</f>
        <v>This question does not apply.</v>
      </c>
      <c r="F106" s="241" t="str">
        <f>IFERROR(VLOOKUP($B106,'Institution Evaluation'!$A$55:$F$345,6,0),IFERROR(VLOOKUP($B106,'Privacy Analyst Evaluation'!$A$46:$F$120,6,0),""))&amp;""</f>
        <v/>
      </c>
      <c r="G106" s="242"/>
      <c r="H106" s="241" t="str">
        <f>IFERROR(IF($H105+1&gt;'(backend scoring)'!$Q$335,"",$H105+1),"")</f>
        <v/>
      </c>
      <c r="I106" s="241" t="str">
        <f>_xlfn.XLOOKUP($H106,'(backend scoring)'!$S$2:$S$333,'(backend scoring)'!$A$2:$A$333,"")</f>
        <v/>
      </c>
      <c r="J106" s="241" t="str">
        <f>IFERROR(VLOOKUP($I106,'Institution Evaluation'!$A$55:$F$345,2,0),IFERROR(VLOOKUP($I106,'Privacy Analyst Evaluation'!$A$46:$F$120,2,0),""))</f>
        <v/>
      </c>
      <c r="K106" s="241" t="str">
        <f>IFERROR(VLOOKUP($I106,'Institution Evaluation'!$A$55:$F$345,3,0),IFERROR(VLOOKUP($I106,'Privacy Analyst Evaluation'!$A$46:$F$120,3,0),""))&amp;""</f>
        <v/>
      </c>
      <c r="L106" s="241" t="str">
        <f>IFERROR(VLOOKUP($I106,'Institution Evaluation'!$A$55:$F$345,4,0),IFERROR(VLOOKUP($I106,'Privacy Analyst Evaluation'!$A$46:$F$120,4,0),""))&amp;""</f>
        <v/>
      </c>
      <c r="M106" s="241" t="str">
        <f>IFERROR(VLOOKUP($I106,'Institution Evaluation'!$A$55:$F$345,6,0),IFERROR(VLOOKUP($I106,'Privacy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customHeight="1" x14ac:dyDescent="0.2">
      <c r="A107" s="241">
        <f>IFERROR(IF($A106+1&gt;'(backend scoring)'!$T$335,"",$A106+1),"")</f>
        <v>83</v>
      </c>
      <c r="B107" s="241" t="str">
        <f>_xlfn.XLOOKUP($A107,'(backend scoring)'!$V$2:$V$333,'(backend scoring)'!$A$2:$A$333,"")</f>
        <v>AIML-02</v>
      </c>
      <c r="C107" s="241" t="str">
        <f>IFERROR(VLOOKUP($B107,'Institution Evaluation'!$A$55:$F$345,2,0),IFERROR(VLOOKUP($B107,'Privacy Analyst Evaluation'!$A$46:$F$120,2,0),""))&amp;""</f>
        <v>Do you authenticate and verify your ML model's feedback?*</v>
      </c>
      <c r="D107" s="241" t="str">
        <f>IFERROR(VLOOKUP($B107,'Institution Evaluation'!$A$55:$F$345,3,0),IFERROR(VLOOKUP($B107,'Privacy Analyst Evaluation'!$A$46:$F$120,3,0),""))&amp;""</f>
        <v>N/A</v>
      </c>
      <c r="E107" s="241" t="str">
        <f>IFERROR(VLOOKUP($B107,'Institution Evaluation'!$A$55:$F$345,4,0),IFERROR(VLOOKUP($B107,'Privacy Analyst Evaluation'!$A$46:$F$120,4,0),""))&amp;""</f>
        <v>This question does not apply.</v>
      </c>
      <c r="F107" s="241" t="str">
        <f>IFERROR(VLOOKUP($B107,'Institution Evaluation'!$A$55:$F$345,6,0),IFERROR(VLOOKUP($B107,'Privacy Analyst Evaluation'!$A$46:$F$120,6,0),""))&amp;""</f>
        <v/>
      </c>
      <c r="G107" s="242"/>
      <c r="H107" s="241" t="str">
        <f>IFERROR(IF($H106+1&gt;'(backend scoring)'!$Q$335,"",$H106+1),"")</f>
        <v/>
      </c>
      <c r="I107" s="241" t="str">
        <f>_xlfn.XLOOKUP($H107,'(backend scoring)'!$S$2:$S$333,'(backend scoring)'!$A$2:$A$333,"")</f>
        <v/>
      </c>
      <c r="J107" s="241" t="str">
        <f>IFERROR(VLOOKUP($I107,'Institution Evaluation'!$A$55:$F$345,2,0),IFERROR(VLOOKUP($I107,'Privacy Analyst Evaluation'!$A$46:$F$120,2,0),""))</f>
        <v/>
      </c>
      <c r="K107" s="241" t="str">
        <f>IFERROR(VLOOKUP($I107,'Institution Evaluation'!$A$55:$F$345,3,0),IFERROR(VLOOKUP($I107,'Privacy Analyst Evaluation'!$A$46:$F$120,3,0),""))&amp;""</f>
        <v/>
      </c>
      <c r="L107" s="241" t="str">
        <f>IFERROR(VLOOKUP($I107,'Institution Evaluation'!$A$55:$F$345,4,0),IFERROR(VLOOKUP($I107,'Privacy Analyst Evaluation'!$A$46:$F$120,4,0),""))&amp;""</f>
        <v/>
      </c>
      <c r="M107" s="241" t="str">
        <f>IFERROR(VLOOKUP($I107,'Institution Evaluation'!$A$55:$F$345,6,0),IFERROR(VLOOKUP($I107,'Privacy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customHeight="1" x14ac:dyDescent="0.2">
      <c r="A108" s="241">
        <f>IFERROR(IF($A107+1&gt;'(backend scoring)'!$T$335,"",$A107+1),"")</f>
        <v>84</v>
      </c>
      <c r="B108" s="241" t="str">
        <f>_xlfn.XLOOKUP($A108,'(backend scoring)'!$V$2:$V$333,'(backend scoring)'!$A$2:$A$333,"")</f>
        <v>AILM-01</v>
      </c>
      <c r="C108" s="241" t="str">
        <f>IFERROR(VLOOKUP($B108,'Institution Evaluation'!$A$55:$F$345,2,0),IFERROR(VLOOKUP($B108,'Privacy Analyst Evaluation'!$A$46:$F$120,2,0),""))&amp;""</f>
        <v>Do you limit your solution's LLM privileges by default?*</v>
      </c>
      <c r="D108" s="241" t="str">
        <f>IFERROR(VLOOKUP($B108,'Institution Evaluation'!$A$55:$F$345,3,0),IFERROR(VLOOKUP($B108,'Privacy Analyst Evaluation'!$A$46:$F$120,3,0),""))&amp;""</f>
        <v>N/A</v>
      </c>
      <c r="E108" s="241" t="str">
        <f>IFERROR(VLOOKUP($B108,'Institution Evaluation'!$A$55:$F$345,4,0),IFERROR(VLOOKUP($B108,'Privacy Analyst Evaluation'!$A$46:$F$120,4,0),""))&amp;""</f>
        <v>This question does not apply.</v>
      </c>
      <c r="F108" s="241" t="str">
        <f>IFERROR(VLOOKUP($B108,'Institution Evaluation'!$A$55:$F$345,6,0),IFERROR(VLOOKUP($B108,'Privacy Analyst Evaluation'!$A$46:$F$120,6,0),""))&amp;""</f>
        <v/>
      </c>
      <c r="G108" s="242"/>
      <c r="H108" s="241" t="str">
        <f>IFERROR(IF($H107+1&gt;'(backend scoring)'!$Q$335,"",$H107+1),"")</f>
        <v/>
      </c>
      <c r="I108" s="241" t="str">
        <f>_xlfn.XLOOKUP($H108,'(backend scoring)'!$S$2:$S$333,'(backend scoring)'!$A$2:$A$333,"")</f>
        <v/>
      </c>
      <c r="J108" s="241" t="str">
        <f>IFERROR(VLOOKUP($I108,'Institution Evaluation'!$A$55:$F$345,2,0),IFERROR(VLOOKUP($I108,'Privacy Analyst Evaluation'!$A$46:$F$120,2,0),""))</f>
        <v/>
      </c>
      <c r="K108" s="241" t="str">
        <f>IFERROR(VLOOKUP($I108,'Institution Evaluation'!$A$55:$F$345,3,0),IFERROR(VLOOKUP($I108,'Privacy Analyst Evaluation'!$A$46:$F$120,3,0),""))&amp;""</f>
        <v/>
      </c>
      <c r="L108" s="241" t="str">
        <f>IFERROR(VLOOKUP($I108,'Institution Evaluation'!$A$55:$F$345,4,0),IFERROR(VLOOKUP($I108,'Privacy Analyst Evaluation'!$A$46:$F$120,4,0),""))&amp;""</f>
        <v/>
      </c>
      <c r="M108" s="241" t="str">
        <f>IFERROR(VLOOKUP($I108,'Institution Evaluation'!$A$55:$F$345,6,0),IFERROR(VLOOKUP($I108,'Privacy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45" customHeight="1" x14ac:dyDescent="0.2">
      <c r="A109" s="241">
        <f>IFERROR(IF($A108+1&gt;'(backend scoring)'!$T$335,"",$A108+1),"")</f>
        <v>85</v>
      </c>
      <c r="B109" s="241" t="str">
        <f>_xlfn.XLOOKUP($A109,'(backend scoring)'!$V$2:$V$333,'(backend scoring)'!$A$2:$A$333,"")</f>
        <v>AILM-02</v>
      </c>
      <c r="C109" s="241" t="str">
        <f>IFERROR(VLOOKUP($B109,'Institution Evaluation'!$A$55:$F$345,2,0),IFERROR(VLOOKUP($B109,'Privacy Analyst Evaluation'!$A$46:$F$120,2,0),""))&amp;""</f>
        <v>Is your LLM training data vetted, validated, and verified before training the solution's AI model?*</v>
      </c>
      <c r="D109" s="241" t="str">
        <f>IFERROR(VLOOKUP($B109,'Institution Evaluation'!$A$55:$F$345,3,0),IFERROR(VLOOKUP($B109,'Privacy Analyst Evaluation'!$A$46:$F$120,3,0),""))&amp;""</f>
        <v>N/A</v>
      </c>
      <c r="E109" s="241" t="str">
        <f>IFERROR(VLOOKUP($B109,'Institution Evaluation'!$A$55:$F$345,4,0),IFERROR(VLOOKUP($B109,'Privacy Analyst Evaluation'!$A$46:$F$120,4,0),""))&amp;""</f>
        <v>This question does not apply.</v>
      </c>
      <c r="F109" s="241" t="str">
        <f>IFERROR(VLOOKUP($B109,'Institution Evaluation'!$A$55:$F$345,6,0),IFERROR(VLOOKUP($B109,'Privacy Analyst Evaluation'!$A$46:$F$120,6,0),""))&amp;""</f>
        <v/>
      </c>
      <c r="G109" s="242"/>
      <c r="H109" s="241" t="str">
        <f>IFERROR(IF($H108+1&gt;'(backend scoring)'!$Q$335,"",$H108+1),"")</f>
        <v/>
      </c>
      <c r="I109" s="241" t="str">
        <f>_xlfn.XLOOKUP($H109,'(backend scoring)'!$S$2:$S$333,'(backend scoring)'!$A$2:$A$333,"")</f>
        <v/>
      </c>
      <c r="J109" s="241" t="str">
        <f>IFERROR(VLOOKUP($I109,'Institution Evaluation'!$A$55:$F$345,2,0),IFERROR(VLOOKUP($I109,'Privacy Analyst Evaluation'!$A$46:$F$120,2,0),""))</f>
        <v/>
      </c>
      <c r="K109" s="241" t="str">
        <f>IFERROR(VLOOKUP($I109,'Institution Evaluation'!$A$55:$F$345,3,0),IFERROR(VLOOKUP($I109,'Privacy Analyst Evaluation'!$A$46:$F$120,3,0),""))&amp;""</f>
        <v/>
      </c>
      <c r="L109" s="241" t="str">
        <f>IFERROR(VLOOKUP($I109,'Institution Evaluation'!$A$55:$F$345,4,0),IFERROR(VLOOKUP($I109,'Privacy Analyst Evaluation'!$A$46:$F$120,4,0),""))&amp;""</f>
        <v/>
      </c>
      <c r="M109" s="241" t="str">
        <f>IFERROR(VLOOKUP($I109,'Institution Evaluation'!$A$55:$F$345,6,0),IFERROR(VLOOKUP($I109,'Privacy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45" customHeight="1" x14ac:dyDescent="0.2">
      <c r="A110" s="241">
        <f>IFERROR(IF($A109+1&gt;'(backend scoring)'!$T$335,"",$A109+1),"")</f>
        <v>86</v>
      </c>
      <c r="B110" s="241" t="str">
        <f>_xlfn.XLOOKUP($A110,'(backend scoring)'!$V$2:$V$333,'(backend scoring)'!$A$2:$A$333,"")</f>
        <v>AILM-03</v>
      </c>
      <c r="C110" s="241" t="str">
        <f>IFERROR(VLOOKUP($B110,'Institution Evaluation'!$A$55:$F$345,2,0),IFERROR(VLOOKUP($B110,'Privacy Analyst Evaluation'!$A$46:$F$120,2,0),""))&amp;""</f>
        <v>Do any actions taken by your solution's LLM features or plugins require human intervention?*</v>
      </c>
      <c r="D110" s="241" t="str">
        <f>IFERROR(VLOOKUP($B110,'Institution Evaluation'!$A$55:$F$345,3,0),IFERROR(VLOOKUP($B110,'Privacy Analyst Evaluation'!$A$46:$F$120,3,0),""))&amp;""</f>
        <v>N/A</v>
      </c>
      <c r="E110" s="241" t="str">
        <f>IFERROR(VLOOKUP($B110,'Institution Evaluation'!$A$55:$F$345,4,0),IFERROR(VLOOKUP($B110,'Privacy Analyst Evaluation'!$A$46:$F$120,4,0),""))&amp;""</f>
        <v>This question does not apply.</v>
      </c>
      <c r="F110" s="241" t="str">
        <f>IFERROR(VLOOKUP($B110,'Institution Evaluation'!$A$55:$F$345,6,0),IFERROR(VLOOKUP($B110,'Privacy Analyst Evaluation'!$A$46:$F$120,6,0),""))&amp;""</f>
        <v/>
      </c>
      <c r="G110" s="242"/>
      <c r="H110" s="241" t="str">
        <f>IFERROR(IF($H109+1&gt;'(backend scoring)'!$Q$335,"",$H109+1),"")</f>
        <v/>
      </c>
      <c r="I110" s="241" t="str">
        <f>_xlfn.XLOOKUP($H110,'(backend scoring)'!$S$2:$S$333,'(backend scoring)'!$A$2:$A$333,"")</f>
        <v/>
      </c>
      <c r="J110" s="241" t="str">
        <f>IFERROR(VLOOKUP($I110,'Institution Evaluation'!$A$55:$F$345,2,0),IFERROR(VLOOKUP($I110,'Privacy Analyst Evaluation'!$A$46:$F$120,2,0),""))</f>
        <v/>
      </c>
      <c r="K110" s="241" t="str">
        <f>IFERROR(VLOOKUP($I110,'Institution Evaluation'!$A$55:$F$345,3,0),IFERROR(VLOOKUP($I110,'Privacy Analyst Evaluation'!$A$46:$F$120,3,0),""))&amp;""</f>
        <v/>
      </c>
      <c r="L110" s="241" t="str">
        <f>IFERROR(VLOOKUP($I110,'Institution Evaluation'!$A$55:$F$345,4,0),IFERROR(VLOOKUP($I110,'Privacy Analyst Evaluation'!$A$46:$F$120,4,0),""))&amp;""</f>
        <v/>
      </c>
      <c r="M110" s="241" t="str">
        <f>IFERROR(VLOOKUP($I110,'Institution Evaluation'!$A$55:$F$345,6,0),IFERROR(VLOOKUP($I110,'Privacy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customHeight="1" x14ac:dyDescent="0.2">
      <c r="A111" s="241">
        <f>IFERROR(IF($A110+1&gt;'(backend scoring)'!$T$335,"",$A110+1),"")</f>
        <v>87</v>
      </c>
      <c r="B111" s="241" t="str">
        <f>_xlfn.XLOOKUP($A111,'(backend scoring)'!$V$2:$V$333,'(backend scoring)'!$A$2:$A$333,"")</f>
        <v>AILM-04</v>
      </c>
      <c r="C111" s="241" t="str">
        <f>IFERROR(VLOOKUP($B111,'Institution Evaluation'!$A$55:$F$345,2,0),IFERROR(VLOOKUP($B111,'Privacy Analyst Evaluation'!$A$46:$F$120,2,0),""))&amp;""</f>
        <v>Do you limit multiple LLM model plugins being called as part of a single input?*</v>
      </c>
      <c r="D111" s="241" t="str">
        <f>IFERROR(VLOOKUP($B111,'Institution Evaluation'!$A$55:$F$345,3,0),IFERROR(VLOOKUP($B111,'Privacy Analyst Evaluation'!$A$46:$F$120,3,0),""))&amp;""</f>
        <v>N/A</v>
      </c>
      <c r="E111" s="241" t="str">
        <f>IFERROR(VLOOKUP($B111,'Institution Evaluation'!$A$55:$F$345,4,0),IFERROR(VLOOKUP($B111,'Privacy Analyst Evaluation'!$A$46:$F$120,4,0),""))&amp;""</f>
        <v>This question does not apply.</v>
      </c>
      <c r="F111" s="241" t="str">
        <f>IFERROR(VLOOKUP($B111,'Institution Evaluation'!$A$55:$F$345,6,0),IFERROR(VLOOKUP($B111,'Privacy Analyst Evaluation'!$A$46:$F$120,6,0),""))&amp;""</f>
        <v/>
      </c>
      <c r="G111" s="242"/>
      <c r="H111" s="241" t="str">
        <f>IFERROR(IF($H110+1&gt;'(backend scoring)'!$Q$335,"",$H110+1),"")</f>
        <v/>
      </c>
      <c r="I111" s="241" t="str">
        <f>_xlfn.XLOOKUP($H111,'(backend scoring)'!$S$2:$S$333,'(backend scoring)'!$A$2:$A$333,"")</f>
        <v/>
      </c>
      <c r="J111" s="241" t="str">
        <f>IFERROR(VLOOKUP($I111,'Institution Evaluation'!$A$55:$F$345,2,0),IFERROR(VLOOKUP($I111,'Privacy Analyst Evaluation'!$A$46:$F$120,2,0),""))</f>
        <v/>
      </c>
      <c r="K111" s="241" t="str">
        <f>IFERROR(VLOOKUP($I111,'Institution Evaluation'!$A$55:$F$345,3,0),IFERROR(VLOOKUP($I111,'Privacy Analyst Evaluation'!$A$46:$F$120,3,0),""))&amp;""</f>
        <v/>
      </c>
      <c r="L111" s="241" t="str">
        <f>IFERROR(VLOOKUP($I111,'Institution Evaluation'!$A$55:$F$345,4,0),IFERROR(VLOOKUP($I111,'Privacy Analyst Evaluation'!$A$46:$F$120,4,0),""))&amp;""</f>
        <v/>
      </c>
      <c r="M111" s="241" t="str">
        <f>IFERROR(VLOOKUP($I111,'Institution Evaluation'!$A$55:$F$345,6,0),IFERROR(VLOOKUP($I111,'Privacy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ht="17" x14ac:dyDescent="0.2">
      <c r="A112" s="241" t="str">
        <f>IFERROR(IF($A111+1&gt;'(backend scoring)'!$T$335,"",$A111+1),"")</f>
        <v/>
      </c>
      <c r="B112" s="241" t="str">
        <f>_xlfn.XLOOKUP($A112,'(backend scoring)'!$V$2:$V$333,'(backend scoring)'!$A$2:$A$333,"")</f>
        <v/>
      </c>
      <c r="C112" s="241" t="str">
        <f>IFERROR(VLOOKUP($B112,'Institution Evaluation'!$A$55:$F$345,2,0),IFERROR(VLOOKUP($B112,'Privacy Analyst Evaluation'!$A$46:$F$120,2,0),""))&amp;""</f>
        <v/>
      </c>
      <c r="D112" s="241" t="str">
        <f>IFERROR(VLOOKUP($B112,'Institution Evaluation'!$A$55:$F$345,3,0),IFERROR(VLOOKUP($B112,'Privacy Analyst Evaluation'!$A$46:$F$120,3,0),""))&amp;""</f>
        <v/>
      </c>
      <c r="E112" s="241" t="str">
        <f>IFERROR(VLOOKUP($B112,'Institution Evaluation'!$A$55:$F$345,4,0),IFERROR(VLOOKUP($B112,'Privacy Analyst Evaluation'!$A$46:$F$120,4,0),""))&amp;""</f>
        <v/>
      </c>
      <c r="F112" s="241" t="str">
        <f>IFERROR(VLOOKUP($B112,'Institution Evaluation'!$A$55:$F$345,6,0),IFERROR(VLOOKUP($B112,'Privacy Analyst Evaluation'!$A$46:$F$120,6,0),""))&amp;""</f>
        <v/>
      </c>
      <c r="G112" s="242"/>
      <c r="H112" s="241" t="str">
        <f>IFERROR(IF($H111+1&gt;'(backend scoring)'!$Q$335,"",$H111+1),"")</f>
        <v/>
      </c>
      <c r="I112" s="241" t="str">
        <f>_xlfn.XLOOKUP($H112,'(backend scoring)'!$S$2:$S$333,'(backend scoring)'!$A$2:$A$333,"")</f>
        <v/>
      </c>
      <c r="J112" s="241" t="str">
        <f>IFERROR(VLOOKUP($I112,'Institution Evaluation'!$A$55:$F$345,2,0),IFERROR(VLOOKUP($I112,'Privacy Analyst Evaluation'!$A$46:$F$120,2,0),""))</f>
        <v/>
      </c>
      <c r="K112" s="241" t="str">
        <f>IFERROR(VLOOKUP($I112,'Institution Evaluation'!$A$55:$F$345,3,0),IFERROR(VLOOKUP($I112,'Privacy Analyst Evaluation'!$A$46:$F$120,3,0),""))&amp;""</f>
        <v/>
      </c>
      <c r="L112" s="241" t="str">
        <f>IFERROR(VLOOKUP($I112,'Institution Evaluation'!$A$55:$F$345,4,0),IFERROR(VLOOKUP($I112,'Privacy Analyst Evaluation'!$A$46:$F$120,4,0),""))&amp;""</f>
        <v/>
      </c>
      <c r="M112" s="241" t="str">
        <f>IFERROR(VLOOKUP($I112,'Institution Evaluation'!$A$55:$F$345,6,0),IFERROR(VLOOKUP($I112,'Privacy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ht="17" x14ac:dyDescent="0.2">
      <c r="A113" s="241" t="str">
        <f>IFERROR(IF($A112+1&gt;'(backend scoring)'!$T$335,"",$A112+1),"")</f>
        <v/>
      </c>
      <c r="B113" s="241" t="str">
        <f>_xlfn.XLOOKUP($A113,'(backend scoring)'!$V$2:$V$333,'(backend scoring)'!$A$2:$A$333,"")</f>
        <v/>
      </c>
      <c r="C113" s="241" t="str">
        <f>IFERROR(VLOOKUP($B113,'Institution Evaluation'!$A$55:$F$345,2,0),IFERROR(VLOOKUP($B113,'Privacy Analyst Evaluation'!$A$46:$F$120,2,0),""))&amp;""</f>
        <v/>
      </c>
      <c r="D113" s="241" t="str">
        <f>IFERROR(VLOOKUP($B113,'Institution Evaluation'!$A$55:$F$345,3,0),IFERROR(VLOOKUP($B113,'Privacy Analyst Evaluation'!$A$46:$F$120,3,0),""))&amp;""</f>
        <v/>
      </c>
      <c r="E113" s="241" t="str">
        <f>IFERROR(VLOOKUP($B113,'Institution Evaluation'!$A$55:$F$345,4,0),IFERROR(VLOOKUP($B113,'Privacy Analyst Evaluation'!$A$46:$F$120,4,0),""))&amp;""</f>
        <v/>
      </c>
      <c r="F113" s="241" t="str">
        <f>IFERROR(VLOOKUP($B113,'Institution Evaluation'!$A$55:$F$345,6,0),IFERROR(VLOOKUP($B113,'Privacy Analyst Evaluation'!$A$46:$F$120,6,0),""))&amp;""</f>
        <v/>
      </c>
      <c r="G113" s="242"/>
      <c r="H113" s="241" t="str">
        <f>IFERROR(IF($H112+1&gt;'(backend scoring)'!$Q$335,"",$H112+1),"")</f>
        <v/>
      </c>
      <c r="I113" s="241" t="str">
        <f>_xlfn.XLOOKUP($H113,'(backend scoring)'!$S$2:$S$333,'(backend scoring)'!$A$2:$A$333,"")</f>
        <v/>
      </c>
      <c r="J113" s="241" t="str">
        <f>IFERROR(VLOOKUP($I113,'Institution Evaluation'!$A$55:$F$345,2,0),IFERROR(VLOOKUP($I113,'Privacy Analyst Evaluation'!$A$46:$F$120,2,0),""))</f>
        <v/>
      </c>
      <c r="K113" s="241" t="str">
        <f>IFERROR(VLOOKUP($I113,'Institution Evaluation'!$A$55:$F$345,3,0),IFERROR(VLOOKUP($I113,'Privacy Analyst Evaluation'!$A$46:$F$120,3,0),""))&amp;""</f>
        <v/>
      </c>
      <c r="L113" s="241" t="str">
        <f>IFERROR(VLOOKUP($I113,'Institution Evaluation'!$A$55:$F$345,4,0),IFERROR(VLOOKUP($I113,'Privacy Analyst Evaluation'!$A$46:$F$120,4,0),""))&amp;""</f>
        <v/>
      </c>
      <c r="M113" s="241" t="str">
        <f>IFERROR(VLOOKUP($I113,'Institution Evaluation'!$A$55:$F$345,6,0),IFERROR(VLOOKUP($I113,'Privacy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ht="17" x14ac:dyDescent="0.2">
      <c r="A114" s="241" t="str">
        <f>IFERROR(IF($A113+1&gt;'(backend scoring)'!$T$335,"",$A113+1),"")</f>
        <v/>
      </c>
      <c r="B114" s="241" t="str">
        <f>_xlfn.XLOOKUP($A114,'(backend scoring)'!$V$2:$V$333,'(backend scoring)'!$A$2:$A$333,"")</f>
        <v/>
      </c>
      <c r="C114" s="241" t="str">
        <f>IFERROR(VLOOKUP($B114,'Institution Evaluation'!$A$55:$F$345,2,0),IFERROR(VLOOKUP($B114,'Privacy Analyst Evaluation'!$A$46:$F$120,2,0),""))&amp;""</f>
        <v/>
      </c>
      <c r="D114" s="241" t="str">
        <f>IFERROR(VLOOKUP($B114,'Institution Evaluation'!$A$55:$F$345,3,0),IFERROR(VLOOKUP($B114,'Privacy Analyst Evaluation'!$A$46:$F$120,3,0),""))&amp;""</f>
        <v/>
      </c>
      <c r="E114" s="241" t="str">
        <f>IFERROR(VLOOKUP($B114,'Institution Evaluation'!$A$55:$F$345,4,0),IFERROR(VLOOKUP($B114,'Privacy Analyst Evaluation'!$A$46:$F$120,4,0),""))&amp;""</f>
        <v/>
      </c>
      <c r="F114" s="241" t="str">
        <f>IFERROR(VLOOKUP($B114,'Institution Evaluation'!$A$55:$F$345,6,0),IFERROR(VLOOKUP($B114,'Privacy Analyst Evaluation'!$A$46:$F$120,6,0),""))&amp;""</f>
        <v/>
      </c>
      <c r="G114" s="242"/>
      <c r="H114" s="241" t="str">
        <f>IFERROR(IF($H113+1&gt;'(backend scoring)'!$Q$335,"",$H113+1),"")</f>
        <v/>
      </c>
      <c r="I114" s="241" t="str">
        <f>_xlfn.XLOOKUP($H114,'(backend scoring)'!$S$2:$S$333,'(backend scoring)'!$A$2:$A$333,"")</f>
        <v/>
      </c>
      <c r="J114" s="241" t="str">
        <f>IFERROR(VLOOKUP($I114,'Institution Evaluation'!$A$55:$F$345,2,0),IFERROR(VLOOKUP($I114,'Privacy Analyst Evaluation'!$A$46:$F$120,2,0),""))</f>
        <v/>
      </c>
      <c r="K114" s="241" t="str">
        <f>IFERROR(VLOOKUP($I114,'Institution Evaluation'!$A$55:$F$345,3,0),IFERROR(VLOOKUP($I114,'Privacy Analyst Evaluation'!$A$46:$F$120,3,0),""))&amp;""</f>
        <v/>
      </c>
      <c r="L114" s="241" t="str">
        <f>IFERROR(VLOOKUP($I114,'Institution Evaluation'!$A$55:$F$345,4,0),IFERROR(VLOOKUP($I114,'Privacy Analyst Evaluation'!$A$46:$F$120,4,0),""))&amp;""</f>
        <v/>
      </c>
      <c r="M114" s="241" t="str">
        <f>IFERROR(VLOOKUP($I114,'Institution Evaluation'!$A$55:$F$345,6,0),IFERROR(VLOOKUP($I114,'Privacy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ht="17" x14ac:dyDescent="0.2">
      <c r="A115" s="241" t="str">
        <f>IFERROR(IF($A114+1&gt;'(backend scoring)'!$T$335,"",$A114+1),"")</f>
        <v/>
      </c>
      <c r="B115" s="241" t="str">
        <f>_xlfn.XLOOKUP($A115,'(backend scoring)'!$V$2:$V$333,'(backend scoring)'!$A$2:$A$333,"")</f>
        <v/>
      </c>
      <c r="C115" s="241" t="str">
        <f>IFERROR(VLOOKUP($B115,'Institution Evaluation'!$A$55:$F$345,2,0),IFERROR(VLOOKUP($B115,'Privacy Analyst Evaluation'!$A$46:$F$120,2,0),""))&amp;""</f>
        <v/>
      </c>
      <c r="D115" s="241" t="str">
        <f>IFERROR(VLOOKUP($B115,'Institution Evaluation'!$A$55:$F$345,3,0),IFERROR(VLOOKUP($B115,'Privacy Analyst Evaluation'!$A$46:$F$120,3,0),""))&amp;""</f>
        <v/>
      </c>
      <c r="E115" s="241" t="str">
        <f>IFERROR(VLOOKUP($B115,'Institution Evaluation'!$A$55:$F$345,4,0),IFERROR(VLOOKUP($B115,'Privacy Analyst Evaluation'!$A$46:$F$120,4,0),""))&amp;""</f>
        <v/>
      </c>
      <c r="F115" s="241" t="str">
        <f>IFERROR(VLOOKUP($B115,'Institution Evaluation'!$A$55:$F$345,6,0),IFERROR(VLOOKUP($B115,'Privacy Analyst Evaluation'!$A$46:$F$120,6,0),""))&amp;""</f>
        <v/>
      </c>
      <c r="G115" s="242"/>
      <c r="H115" s="241" t="str">
        <f>IFERROR(IF($H114+1&gt;'(backend scoring)'!$Q$335,"",$H114+1),"")</f>
        <v/>
      </c>
      <c r="I115" s="241" t="str">
        <f>_xlfn.XLOOKUP($H115,'(backend scoring)'!$S$2:$S$333,'(backend scoring)'!$A$2:$A$333,"")</f>
        <v/>
      </c>
      <c r="J115" s="241" t="str">
        <f>IFERROR(VLOOKUP($I115,'Institution Evaluation'!$A$55:$F$345,2,0),IFERROR(VLOOKUP($I115,'Privacy Analyst Evaluation'!$A$46:$F$120,2,0),""))</f>
        <v/>
      </c>
      <c r="K115" s="241" t="str">
        <f>IFERROR(VLOOKUP($I115,'Institution Evaluation'!$A$55:$F$345,3,0),IFERROR(VLOOKUP($I115,'Privacy Analyst Evaluation'!$A$46:$F$120,3,0),""))&amp;""</f>
        <v/>
      </c>
      <c r="L115" s="241" t="str">
        <f>IFERROR(VLOOKUP($I115,'Institution Evaluation'!$A$55:$F$345,4,0),IFERROR(VLOOKUP($I115,'Privacy Analyst Evaluation'!$A$46:$F$120,4,0),""))&amp;""</f>
        <v/>
      </c>
      <c r="M115" s="241" t="str">
        <f>IFERROR(VLOOKUP($I115,'Institution Evaluation'!$A$55:$F$345,6,0),IFERROR(VLOOKUP($I115,'Privacy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ht="17" x14ac:dyDescent="0.2">
      <c r="A116" s="241" t="str">
        <f>IFERROR(IF($A115+1&gt;'(backend scoring)'!$T$335,"",$A115+1),"")</f>
        <v/>
      </c>
      <c r="B116" s="241" t="str">
        <f>_xlfn.XLOOKUP($A116,'(backend scoring)'!$V$2:$V$333,'(backend scoring)'!$A$2:$A$333,"")</f>
        <v/>
      </c>
      <c r="C116" s="241" t="str">
        <f>IFERROR(VLOOKUP($B116,'Institution Evaluation'!$A$55:$F$345,2,0),IFERROR(VLOOKUP($B116,'Privacy Analyst Evaluation'!$A$46:$F$120,2,0),""))&amp;""</f>
        <v/>
      </c>
      <c r="D116" s="241" t="str">
        <f>IFERROR(VLOOKUP($B116,'Institution Evaluation'!$A$55:$F$345,3,0),IFERROR(VLOOKUP($B116,'Privacy Analyst Evaluation'!$A$46:$F$120,3,0),""))&amp;""</f>
        <v/>
      </c>
      <c r="E116" s="241" t="str">
        <f>IFERROR(VLOOKUP($B116,'Institution Evaluation'!$A$55:$F$345,4,0),IFERROR(VLOOKUP($B116,'Privacy Analyst Evaluation'!$A$46:$F$120,4,0),""))&amp;""</f>
        <v/>
      </c>
      <c r="F116" s="241" t="str">
        <f>IFERROR(VLOOKUP($B116,'Institution Evaluation'!$A$55:$F$345,6,0),IFERROR(VLOOKUP($B116,'Privacy Analyst Evaluation'!$A$46:$F$120,6,0),""))&amp;""</f>
        <v/>
      </c>
      <c r="G116" s="242"/>
      <c r="H116" s="241" t="str">
        <f>IFERROR(IF($H115+1&gt;'(backend scoring)'!$Q$335,"",$H115+1),"")</f>
        <v/>
      </c>
      <c r="I116" s="241" t="str">
        <f>_xlfn.XLOOKUP($H116,'(backend scoring)'!$S$2:$S$333,'(backend scoring)'!$A$2:$A$333,"")</f>
        <v/>
      </c>
      <c r="J116" s="241" t="str">
        <f>IFERROR(VLOOKUP($I116,'Institution Evaluation'!$A$55:$F$345,2,0),IFERROR(VLOOKUP($I116,'Privacy Analyst Evaluation'!$A$46:$F$120,2,0),""))</f>
        <v/>
      </c>
      <c r="K116" s="241" t="str">
        <f>IFERROR(VLOOKUP($I116,'Institution Evaluation'!$A$55:$F$345,3,0),IFERROR(VLOOKUP($I116,'Privacy Analyst Evaluation'!$A$46:$F$120,3,0),""))&amp;""</f>
        <v/>
      </c>
      <c r="L116" s="241" t="str">
        <f>IFERROR(VLOOKUP($I116,'Institution Evaluation'!$A$55:$F$345,4,0),IFERROR(VLOOKUP($I116,'Privacy Analyst Evaluation'!$A$46:$F$120,4,0),""))&amp;""</f>
        <v/>
      </c>
      <c r="M116" s="241" t="str">
        <f>IFERROR(VLOOKUP($I116,'Institution Evaluation'!$A$55:$F$345,6,0),IFERROR(VLOOKUP($I116,'Privacy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ht="17" x14ac:dyDescent="0.2">
      <c r="A117" s="241" t="str">
        <f>IFERROR(IF($A116+1&gt;'(backend scoring)'!$T$335,"",$A116+1),"")</f>
        <v/>
      </c>
      <c r="B117" s="241" t="str">
        <f>_xlfn.XLOOKUP($A117,'(backend scoring)'!$V$2:$V$333,'(backend scoring)'!$A$2:$A$333,"")</f>
        <v/>
      </c>
      <c r="C117" s="241" t="str">
        <f>IFERROR(VLOOKUP($B117,'Institution Evaluation'!$A$55:$F$345,2,0),IFERROR(VLOOKUP($B117,'Privacy Analyst Evaluation'!$A$46:$F$120,2,0),""))&amp;""</f>
        <v/>
      </c>
      <c r="D117" s="241" t="str">
        <f>IFERROR(VLOOKUP($B117,'Institution Evaluation'!$A$55:$F$345,3,0),IFERROR(VLOOKUP($B117,'Privacy Analyst Evaluation'!$A$46:$F$120,3,0),""))&amp;""</f>
        <v/>
      </c>
      <c r="E117" s="241" t="str">
        <f>IFERROR(VLOOKUP($B117,'Institution Evaluation'!$A$55:$F$345,4,0),IFERROR(VLOOKUP($B117,'Privacy Analyst Evaluation'!$A$46:$F$120,4,0),""))&amp;""</f>
        <v/>
      </c>
      <c r="F117" s="241" t="str">
        <f>IFERROR(VLOOKUP($B117,'Institution Evaluation'!$A$55:$F$345,6,0),IFERROR(VLOOKUP($B117,'Privacy Analyst Evaluation'!$A$46:$F$120,6,0),""))&amp;""</f>
        <v/>
      </c>
      <c r="G117" s="242"/>
      <c r="H117" s="241" t="str">
        <f>IFERROR(IF($H116+1&gt;'(backend scoring)'!$Q$335,"",$H116+1),"")</f>
        <v/>
      </c>
      <c r="I117" s="241" t="str">
        <f>_xlfn.XLOOKUP($H117,'(backend scoring)'!$S$2:$S$333,'(backend scoring)'!$A$2:$A$333,"")</f>
        <v/>
      </c>
      <c r="J117" s="241" t="str">
        <f>IFERROR(VLOOKUP($I117,'Institution Evaluation'!$A$55:$F$345,2,0),IFERROR(VLOOKUP($I117,'Privacy Analyst Evaluation'!$A$46:$F$120,2,0),""))</f>
        <v/>
      </c>
      <c r="K117" s="241" t="str">
        <f>IFERROR(VLOOKUP($I117,'Institution Evaluation'!$A$55:$F$345,3,0),IFERROR(VLOOKUP($I117,'Privacy Analyst Evaluation'!$A$46:$F$120,3,0),""))&amp;""</f>
        <v/>
      </c>
      <c r="L117" s="241" t="str">
        <f>IFERROR(VLOOKUP($I117,'Institution Evaluation'!$A$55:$F$345,4,0),IFERROR(VLOOKUP($I117,'Privacy Analyst Evaluation'!$A$46:$F$120,4,0),""))&amp;""</f>
        <v/>
      </c>
      <c r="M117" s="241" t="str">
        <f>IFERROR(VLOOKUP($I117,'Institution Evaluation'!$A$55:$F$345,6,0),IFERROR(VLOOKUP($I117,'Privacy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ht="17" x14ac:dyDescent="0.2">
      <c r="A118" s="241" t="str">
        <f>IFERROR(IF($A117+1&gt;'(backend scoring)'!$T$335,"",$A117+1),"")</f>
        <v/>
      </c>
      <c r="B118" s="241" t="str">
        <f>_xlfn.XLOOKUP($A118,'(backend scoring)'!$V$2:$V$333,'(backend scoring)'!$A$2:$A$333,"")</f>
        <v/>
      </c>
      <c r="C118" s="241" t="str">
        <f>IFERROR(VLOOKUP($B118,'Institution Evaluation'!$A$55:$F$345,2,0),IFERROR(VLOOKUP($B118,'Privacy Analyst Evaluation'!$A$46:$F$120,2,0),""))&amp;""</f>
        <v/>
      </c>
      <c r="D118" s="241" t="str">
        <f>IFERROR(VLOOKUP($B118,'Institution Evaluation'!$A$55:$F$345,3,0),IFERROR(VLOOKUP($B118,'Privacy Analyst Evaluation'!$A$46:$F$120,3,0),""))&amp;""</f>
        <v/>
      </c>
      <c r="E118" s="241" t="str">
        <f>IFERROR(VLOOKUP($B118,'Institution Evaluation'!$A$55:$F$345,4,0),IFERROR(VLOOKUP($B118,'Privacy Analyst Evaluation'!$A$46:$F$120,4,0),""))&amp;""</f>
        <v/>
      </c>
      <c r="F118" s="241" t="str">
        <f>IFERROR(VLOOKUP($B118,'Institution Evaluation'!$A$55:$F$345,6,0),IFERROR(VLOOKUP($B118,'Privacy Analyst Evaluation'!$A$46:$F$120,6,0),""))&amp;""</f>
        <v/>
      </c>
      <c r="G118" s="242"/>
      <c r="H118" s="241" t="str">
        <f>IFERROR(IF($H117+1&gt;'(backend scoring)'!$Q$335,"",$H117+1),"")</f>
        <v/>
      </c>
      <c r="I118" s="241" t="str">
        <f>_xlfn.XLOOKUP($H118,'(backend scoring)'!$S$2:$S$333,'(backend scoring)'!$A$2:$A$333,"")</f>
        <v/>
      </c>
      <c r="J118" s="241" t="str">
        <f>IFERROR(VLOOKUP($I118,'Institution Evaluation'!$A$55:$F$345,2,0),IFERROR(VLOOKUP($I118,'Privacy Analyst Evaluation'!$A$46:$F$120,2,0),""))</f>
        <v/>
      </c>
      <c r="K118" s="241" t="str">
        <f>IFERROR(VLOOKUP($I118,'Institution Evaluation'!$A$55:$F$345,3,0),IFERROR(VLOOKUP($I118,'Privacy Analyst Evaluation'!$A$46:$F$120,3,0),""))&amp;""</f>
        <v/>
      </c>
      <c r="L118" s="241" t="str">
        <f>IFERROR(VLOOKUP($I118,'Institution Evaluation'!$A$55:$F$345,4,0),IFERROR(VLOOKUP($I118,'Privacy Analyst Evaluation'!$A$46:$F$120,4,0),""))&amp;""</f>
        <v/>
      </c>
      <c r="M118" s="241" t="str">
        <f>IFERROR(VLOOKUP($I118,'Institution Evaluation'!$A$55:$F$345,6,0),IFERROR(VLOOKUP($I118,'Privacy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ht="17" x14ac:dyDescent="0.2">
      <c r="A119" s="241" t="str">
        <f>IFERROR(IF($A118+1&gt;'(backend scoring)'!$T$335,"",$A118+1),"")</f>
        <v/>
      </c>
      <c r="B119" s="241" t="str">
        <f>_xlfn.XLOOKUP($A119,'(backend scoring)'!$V$2:$V$333,'(backend scoring)'!$A$2:$A$333,"")</f>
        <v/>
      </c>
      <c r="C119" s="241" t="str">
        <f>IFERROR(VLOOKUP($B119,'Institution Evaluation'!$A$55:$F$345,2,0),IFERROR(VLOOKUP($B119,'Privacy Analyst Evaluation'!$A$46:$F$120,2,0),""))&amp;""</f>
        <v/>
      </c>
      <c r="D119" s="241" t="str">
        <f>IFERROR(VLOOKUP($B119,'Institution Evaluation'!$A$55:$F$345,3,0),IFERROR(VLOOKUP($B119,'Privacy Analyst Evaluation'!$A$46:$F$120,3,0),""))&amp;""</f>
        <v/>
      </c>
      <c r="E119" s="241" t="str">
        <f>IFERROR(VLOOKUP($B119,'Institution Evaluation'!$A$55:$F$345,4,0),IFERROR(VLOOKUP($B119,'Privacy Analyst Evaluation'!$A$46:$F$120,4,0),""))&amp;""</f>
        <v/>
      </c>
      <c r="F119" s="241" t="str">
        <f>IFERROR(VLOOKUP($B119,'Institution Evaluation'!$A$55:$F$345,6,0),IFERROR(VLOOKUP($B119,'Privacy Analyst Evaluation'!$A$46:$F$120,6,0),""))&amp;""</f>
        <v/>
      </c>
      <c r="G119" s="242"/>
      <c r="H119" s="241" t="str">
        <f>IFERROR(IF($H118+1&gt;'(backend scoring)'!$Q$335,"",$H118+1),"")</f>
        <v/>
      </c>
      <c r="I119" s="241" t="str">
        <f>_xlfn.XLOOKUP($H119,'(backend scoring)'!$S$2:$S$333,'(backend scoring)'!$A$2:$A$333,"")</f>
        <v/>
      </c>
      <c r="J119" s="241" t="str">
        <f>IFERROR(VLOOKUP($I119,'Institution Evaluation'!$A$55:$F$345,2,0),IFERROR(VLOOKUP($I119,'Privacy Analyst Evaluation'!$A$46:$F$120,2,0),""))</f>
        <v/>
      </c>
      <c r="K119" s="241" t="str">
        <f>IFERROR(VLOOKUP($I119,'Institution Evaluation'!$A$55:$F$345,3,0),IFERROR(VLOOKUP($I119,'Privacy Analyst Evaluation'!$A$46:$F$120,3,0),""))&amp;""</f>
        <v/>
      </c>
      <c r="L119" s="241" t="str">
        <f>IFERROR(VLOOKUP($I119,'Institution Evaluation'!$A$55:$F$345,4,0),IFERROR(VLOOKUP($I119,'Privacy Analyst Evaluation'!$A$46:$F$120,4,0),""))&amp;""</f>
        <v/>
      </c>
      <c r="M119" s="241" t="str">
        <f>IFERROR(VLOOKUP($I119,'Institution Evaluation'!$A$55:$F$345,6,0),IFERROR(VLOOKUP($I119,'Privacy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ht="17" x14ac:dyDescent="0.2">
      <c r="A120" s="241" t="str">
        <f>IFERROR(IF($A119+1&gt;'(backend scoring)'!$T$335,"",$A119+1),"")</f>
        <v/>
      </c>
      <c r="B120" s="241" t="str">
        <f>_xlfn.XLOOKUP($A120,'(backend scoring)'!$V$2:$V$333,'(backend scoring)'!$A$2:$A$333,"")</f>
        <v/>
      </c>
      <c r="C120" s="241" t="str">
        <f>IFERROR(VLOOKUP($B120,'Institution Evaluation'!$A$55:$F$345,2,0),IFERROR(VLOOKUP($B120,'Privacy Analyst Evaluation'!$A$46:$F$120,2,0),""))&amp;""</f>
        <v/>
      </c>
      <c r="D120" s="241" t="str">
        <f>IFERROR(VLOOKUP($B120,'Institution Evaluation'!$A$55:$F$345,3,0),IFERROR(VLOOKUP($B120,'Privacy Analyst Evaluation'!$A$46:$F$120,3,0),""))&amp;""</f>
        <v/>
      </c>
      <c r="E120" s="241" t="str">
        <f>IFERROR(VLOOKUP($B120,'Institution Evaluation'!$A$55:$F$345,4,0),IFERROR(VLOOKUP($B120,'Privacy Analyst Evaluation'!$A$46:$F$120,4,0),""))&amp;""</f>
        <v/>
      </c>
      <c r="F120" s="241" t="str">
        <f>IFERROR(VLOOKUP($B120,'Institution Evaluation'!$A$55:$F$345,6,0),IFERROR(VLOOKUP($B120,'Privacy Analyst Evaluation'!$A$46:$F$120,6,0),""))&amp;""</f>
        <v/>
      </c>
      <c r="G120" s="242"/>
      <c r="H120" s="241" t="str">
        <f>IFERROR(IF($H119+1&gt;'(backend scoring)'!$Q$335,"",$H119+1),"")</f>
        <v/>
      </c>
      <c r="I120" s="241" t="str">
        <f>_xlfn.XLOOKUP($H120,'(backend scoring)'!$S$2:$S$333,'(backend scoring)'!$A$2:$A$333,"")</f>
        <v/>
      </c>
      <c r="J120" s="241" t="str">
        <f>IFERROR(VLOOKUP($I120,'Institution Evaluation'!$A$55:$F$345,2,0),IFERROR(VLOOKUP($I120,'Privacy Analyst Evaluation'!$A$46:$F$120,2,0),""))</f>
        <v/>
      </c>
      <c r="K120" s="241" t="str">
        <f>IFERROR(VLOOKUP($I120,'Institution Evaluation'!$A$55:$F$345,3,0),IFERROR(VLOOKUP($I120,'Privacy Analyst Evaluation'!$A$46:$F$120,3,0),""))&amp;""</f>
        <v/>
      </c>
      <c r="L120" s="241" t="str">
        <f>IFERROR(VLOOKUP($I120,'Institution Evaluation'!$A$55:$F$345,4,0),IFERROR(VLOOKUP($I120,'Privacy Analyst Evaluation'!$A$46:$F$120,4,0),""))&amp;""</f>
        <v/>
      </c>
      <c r="M120" s="241" t="str">
        <f>IFERROR(VLOOKUP($I120,'Institution Evaluation'!$A$55:$F$345,6,0),IFERROR(VLOOKUP($I120,'Privacy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ht="17" x14ac:dyDescent="0.2">
      <c r="A121" s="241" t="str">
        <f>IFERROR(IF($A120+1&gt;'(backend scoring)'!$T$335,"",$A120+1),"")</f>
        <v/>
      </c>
      <c r="B121" s="241" t="str">
        <f>_xlfn.XLOOKUP($A121,'(backend scoring)'!$V$2:$V$333,'(backend scoring)'!$A$2:$A$333,"")</f>
        <v/>
      </c>
      <c r="C121" s="241" t="str">
        <f>IFERROR(VLOOKUP($B121,'Institution Evaluation'!$A$55:$F$345,2,0),IFERROR(VLOOKUP($B121,'Privacy Analyst Evaluation'!$A$46:$F$120,2,0),""))&amp;""</f>
        <v/>
      </c>
      <c r="D121" s="241" t="str">
        <f>IFERROR(VLOOKUP($B121,'Institution Evaluation'!$A$55:$F$345,3,0),IFERROR(VLOOKUP($B121,'Privacy Analyst Evaluation'!$A$46:$F$120,3,0),""))&amp;""</f>
        <v/>
      </c>
      <c r="E121" s="241" t="str">
        <f>IFERROR(VLOOKUP($B121,'Institution Evaluation'!$A$55:$F$345,4,0),IFERROR(VLOOKUP($B121,'Privacy Analyst Evaluation'!$A$46:$F$120,4,0),""))&amp;""</f>
        <v/>
      </c>
      <c r="F121" s="241" t="str">
        <f>IFERROR(VLOOKUP($B121,'Institution Evaluation'!$A$55:$F$345,6,0),IFERROR(VLOOKUP($B121,'Privacy Analyst Evaluation'!$A$46:$F$120,6,0),""))&amp;""</f>
        <v/>
      </c>
      <c r="G121" s="242"/>
      <c r="H121" s="241" t="str">
        <f>IFERROR(IF($H120+1&gt;'(backend scoring)'!$Q$335,"",$H120+1),"")</f>
        <v/>
      </c>
      <c r="I121" s="241" t="str">
        <f>_xlfn.XLOOKUP($H121,'(backend scoring)'!$S$2:$S$333,'(backend scoring)'!$A$2:$A$333,"")</f>
        <v/>
      </c>
      <c r="J121" s="241" t="str">
        <f>IFERROR(VLOOKUP($I121,'Institution Evaluation'!$A$55:$F$345,2,0),IFERROR(VLOOKUP($I121,'Privacy Analyst Evaluation'!$A$46:$F$120,2,0),""))</f>
        <v/>
      </c>
      <c r="K121" s="241" t="str">
        <f>IFERROR(VLOOKUP($I121,'Institution Evaluation'!$A$55:$F$345,3,0),IFERROR(VLOOKUP($I121,'Privacy Analyst Evaluation'!$A$46:$F$120,3,0),""))&amp;""</f>
        <v/>
      </c>
      <c r="L121" s="241" t="str">
        <f>IFERROR(VLOOKUP($I121,'Institution Evaluation'!$A$55:$F$345,4,0),IFERROR(VLOOKUP($I121,'Privacy Analyst Evaluation'!$A$46:$F$120,4,0),""))&amp;""</f>
        <v/>
      </c>
      <c r="M121" s="241" t="str">
        <f>IFERROR(VLOOKUP($I121,'Institution Evaluation'!$A$55:$F$345,6,0),IFERROR(VLOOKUP($I121,'Privacy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ht="17" x14ac:dyDescent="0.2">
      <c r="A122" s="241" t="str">
        <f>IFERROR(IF($A121+1&gt;'(backend scoring)'!$T$335,"",$A121+1),"")</f>
        <v/>
      </c>
      <c r="B122" s="241" t="str">
        <f>_xlfn.XLOOKUP($A122,'(backend scoring)'!$V$2:$V$333,'(backend scoring)'!$A$2:$A$333,"")</f>
        <v/>
      </c>
      <c r="C122" s="241" t="str">
        <f>IFERROR(VLOOKUP($B122,'Institution Evaluation'!$A$55:$F$345,2,0),IFERROR(VLOOKUP($B122,'Privacy Analyst Evaluation'!$A$46:$F$120,2,0),""))&amp;""</f>
        <v/>
      </c>
      <c r="D122" s="241" t="str">
        <f>IFERROR(VLOOKUP($B122,'Institution Evaluation'!$A$55:$F$345,3,0),IFERROR(VLOOKUP($B122,'Privacy Analyst Evaluation'!$A$46:$F$120,3,0),""))&amp;""</f>
        <v/>
      </c>
      <c r="E122" s="241" t="str">
        <f>IFERROR(VLOOKUP($B122,'Institution Evaluation'!$A$55:$F$345,4,0),IFERROR(VLOOKUP($B122,'Privacy Analyst Evaluation'!$A$46:$F$120,4,0),""))&amp;""</f>
        <v/>
      </c>
      <c r="F122" s="241" t="str">
        <f>IFERROR(VLOOKUP($B122,'Institution Evaluation'!$A$55:$F$345,6,0),IFERROR(VLOOKUP($B122,'Privacy Analyst Evaluation'!$A$46:$F$120,6,0),""))&amp;""</f>
        <v/>
      </c>
      <c r="G122" s="242"/>
      <c r="H122" s="241" t="str">
        <f>IFERROR(IF($H121+1&gt;'(backend scoring)'!$Q$335,"",$H121+1),"")</f>
        <v/>
      </c>
      <c r="I122" s="241" t="str">
        <f>_xlfn.XLOOKUP($H122,'(backend scoring)'!$S$2:$S$333,'(backend scoring)'!$A$2:$A$333,"")</f>
        <v/>
      </c>
      <c r="J122" s="241" t="str">
        <f>IFERROR(VLOOKUP($I122,'Institution Evaluation'!$A$55:$F$345,2,0),IFERROR(VLOOKUP($I122,'Privacy Analyst Evaluation'!$A$46:$F$120,2,0),""))</f>
        <v/>
      </c>
      <c r="K122" s="241" t="str">
        <f>IFERROR(VLOOKUP($I122,'Institution Evaluation'!$A$55:$F$345,3,0),IFERROR(VLOOKUP($I122,'Privacy Analyst Evaluation'!$A$46:$F$120,3,0),""))&amp;""</f>
        <v/>
      </c>
      <c r="L122" s="241" t="str">
        <f>IFERROR(VLOOKUP($I122,'Institution Evaluation'!$A$55:$F$345,4,0),IFERROR(VLOOKUP($I122,'Privacy Analyst Evaluation'!$A$46:$F$120,4,0),""))&amp;""</f>
        <v/>
      </c>
      <c r="M122" s="241" t="str">
        <f>IFERROR(VLOOKUP($I122,'Institution Evaluation'!$A$55:$F$345,6,0),IFERROR(VLOOKUP($I122,'Privacy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ht="17" x14ac:dyDescent="0.2">
      <c r="A123" s="241" t="str">
        <f>IFERROR(IF($A122+1&gt;'(backend scoring)'!$T$335,"",$A122+1),"")</f>
        <v/>
      </c>
      <c r="B123" s="241" t="str">
        <f>_xlfn.XLOOKUP($A123,'(backend scoring)'!$V$2:$V$333,'(backend scoring)'!$A$2:$A$333,"")</f>
        <v/>
      </c>
      <c r="C123" s="241" t="str">
        <f>IFERROR(VLOOKUP($B123,'Institution Evaluation'!$A$55:$F$345,2,0),IFERROR(VLOOKUP($B123,'Privacy Analyst Evaluation'!$A$46:$F$120,2,0),""))&amp;""</f>
        <v/>
      </c>
      <c r="D123" s="241" t="str">
        <f>IFERROR(VLOOKUP($B123,'Institution Evaluation'!$A$55:$F$345,3,0),IFERROR(VLOOKUP($B123,'Privacy Analyst Evaluation'!$A$46:$F$120,3,0),""))&amp;""</f>
        <v/>
      </c>
      <c r="E123" s="241" t="str">
        <f>IFERROR(VLOOKUP($B123,'Institution Evaluation'!$A$55:$F$345,4,0),IFERROR(VLOOKUP($B123,'Privacy Analyst Evaluation'!$A$46:$F$120,4,0),""))&amp;""</f>
        <v/>
      </c>
      <c r="F123" s="241" t="str">
        <f>IFERROR(VLOOKUP($B123,'Institution Evaluation'!$A$55:$F$345,6,0),IFERROR(VLOOKUP($B123,'Privacy Analyst Evaluation'!$A$46:$F$120,6,0),""))&amp;""</f>
        <v/>
      </c>
      <c r="G123" s="242"/>
      <c r="H123" s="241" t="str">
        <f>IFERROR(IF($H122+1&gt;'(backend scoring)'!$Q$335,"",$H122+1),"")</f>
        <v/>
      </c>
      <c r="I123" s="241" t="str">
        <f>_xlfn.XLOOKUP($H123,'(backend scoring)'!$S$2:$S$333,'(backend scoring)'!$A$2:$A$333,"")</f>
        <v/>
      </c>
      <c r="J123" s="241" t="str">
        <f>IFERROR(VLOOKUP($I123,'Institution Evaluation'!$A$55:$F$345,2,0),IFERROR(VLOOKUP($I123,'Privacy Analyst Evaluation'!$A$46:$F$120,2,0),""))</f>
        <v/>
      </c>
      <c r="K123" s="241" t="str">
        <f>IFERROR(VLOOKUP($I123,'Institution Evaluation'!$A$55:$F$345,3,0),IFERROR(VLOOKUP($I123,'Privacy Analyst Evaluation'!$A$46:$F$120,3,0),""))&amp;""</f>
        <v/>
      </c>
      <c r="L123" s="241" t="str">
        <f>IFERROR(VLOOKUP($I123,'Institution Evaluation'!$A$55:$F$345,4,0),IFERROR(VLOOKUP($I123,'Privacy Analyst Evaluation'!$A$46:$F$120,4,0),""))&amp;""</f>
        <v/>
      </c>
      <c r="M123" s="241" t="str">
        <f>IFERROR(VLOOKUP($I123,'Institution Evaluation'!$A$55:$F$345,6,0),IFERROR(VLOOKUP($I123,'Privacy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ht="17" x14ac:dyDescent="0.2">
      <c r="A124" s="241" t="str">
        <f>IFERROR(IF($A123+1&gt;'(backend scoring)'!$T$335,"",$A123+1),"")</f>
        <v/>
      </c>
      <c r="B124" s="241" t="str">
        <f>_xlfn.XLOOKUP($A124,'(backend scoring)'!$V$2:$V$333,'(backend scoring)'!$A$2:$A$333,"")</f>
        <v/>
      </c>
      <c r="C124" s="241" t="str">
        <f>IFERROR(VLOOKUP($B124,'Institution Evaluation'!$A$55:$F$345,2,0),IFERROR(VLOOKUP($B124,'Privacy Analyst Evaluation'!$A$46:$F$120,2,0),""))&amp;""</f>
        <v/>
      </c>
      <c r="D124" s="241" t="str">
        <f>IFERROR(VLOOKUP($B124,'Institution Evaluation'!$A$55:$F$345,3,0),IFERROR(VLOOKUP($B124,'Privacy Analyst Evaluation'!$A$46:$F$120,3,0),""))&amp;""</f>
        <v/>
      </c>
      <c r="E124" s="241" t="str">
        <f>IFERROR(VLOOKUP($B124,'Institution Evaluation'!$A$55:$F$345,4,0),IFERROR(VLOOKUP($B124,'Privacy Analyst Evaluation'!$A$46:$F$120,4,0),""))&amp;""</f>
        <v/>
      </c>
      <c r="F124" s="241" t="str">
        <f>IFERROR(VLOOKUP($B124,'Institution Evaluation'!$A$55:$F$345,6,0),IFERROR(VLOOKUP($B124,'Privacy Analyst Evaluation'!$A$46:$F$120,6,0),""))&amp;""</f>
        <v/>
      </c>
      <c r="G124" s="242"/>
      <c r="H124" s="241" t="str">
        <f>IFERROR(IF($H123+1&gt;'(backend scoring)'!$Q$335,"",$H123+1),"")</f>
        <v/>
      </c>
      <c r="I124" s="241" t="str">
        <f>_xlfn.XLOOKUP($H124,'(backend scoring)'!$S$2:$S$333,'(backend scoring)'!$A$2:$A$333,"")</f>
        <v/>
      </c>
      <c r="J124" s="241" t="str">
        <f>IFERROR(VLOOKUP($I124,'Institution Evaluation'!$A$55:$F$345,2,0),IFERROR(VLOOKUP($I124,'Privacy Analyst Evaluation'!$A$46:$F$120,2,0),""))</f>
        <v/>
      </c>
      <c r="K124" s="241" t="str">
        <f>IFERROR(VLOOKUP($I124,'Institution Evaluation'!$A$55:$F$345,3,0),IFERROR(VLOOKUP($I124,'Privacy Analyst Evaluation'!$A$46:$F$120,3,0),""))&amp;""</f>
        <v/>
      </c>
      <c r="L124" s="241" t="str">
        <f>IFERROR(VLOOKUP($I124,'Institution Evaluation'!$A$55:$F$345,4,0),IFERROR(VLOOKUP($I124,'Privacy Analyst Evaluation'!$A$46:$F$120,4,0),""))&amp;""</f>
        <v/>
      </c>
      <c r="M124" s="241" t="str">
        <f>IFERROR(VLOOKUP($I124,'Institution Evaluation'!$A$55:$F$345,6,0),IFERROR(VLOOKUP($I124,'Privacy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ht="17" x14ac:dyDescent="0.2">
      <c r="A125" s="241" t="str">
        <f>IFERROR(IF($A124+1&gt;'(backend scoring)'!$T$335,"",$A124+1),"")</f>
        <v/>
      </c>
      <c r="B125" s="241" t="str">
        <f>_xlfn.XLOOKUP($A125,'(backend scoring)'!$V$2:$V$333,'(backend scoring)'!$A$2:$A$333,"")</f>
        <v/>
      </c>
      <c r="C125" s="241" t="str">
        <f>IFERROR(VLOOKUP($B125,'Institution Evaluation'!$A$55:$F$345,2,0),IFERROR(VLOOKUP($B125,'Privacy Analyst Evaluation'!$A$46:$F$120,2,0),""))&amp;""</f>
        <v/>
      </c>
      <c r="D125" s="241" t="str">
        <f>IFERROR(VLOOKUP($B125,'Institution Evaluation'!$A$55:$F$345,3,0),IFERROR(VLOOKUP($B125,'Privacy Analyst Evaluation'!$A$46:$F$120,3,0),""))&amp;""</f>
        <v/>
      </c>
      <c r="E125" s="241" t="str">
        <f>IFERROR(VLOOKUP($B125,'Institution Evaluation'!$A$55:$F$345,4,0),IFERROR(VLOOKUP($B125,'Privacy Analyst Evaluation'!$A$46:$F$120,4,0),""))&amp;""</f>
        <v/>
      </c>
      <c r="F125" s="241" t="str">
        <f>IFERROR(VLOOKUP($B125,'Institution Evaluation'!$A$55:$F$345,6,0),IFERROR(VLOOKUP($B125,'Privacy Analyst Evaluation'!$A$46:$F$120,6,0),""))&amp;""</f>
        <v/>
      </c>
      <c r="G125" s="242"/>
      <c r="H125" s="241" t="str">
        <f>IFERROR(IF($H124+1&gt;'(backend scoring)'!$Q$335,"",$H124+1),"")</f>
        <v/>
      </c>
      <c r="I125" s="241" t="str">
        <f>_xlfn.XLOOKUP($H125,'(backend scoring)'!$S$2:$S$333,'(backend scoring)'!$A$2:$A$333,"")</f>
        <v/>
      </c>
      <c r="J125" s="241" t="str">
        <f>IFERROR(VLOOKUP($I125,'Institution Evaluation'!$A$55:$F$345,2,0),IFERROR(VLOOKUP($I125,'Privacy Analyst Evaluation'!$A$46:$F$120,2,0),""))</f>
        <v/>
      </c>
      <c r="K125" s="241" t="str">
        <f>IFERROR(VLOOKUP($I125,'Institution Evaluation'!$A$55:$F$345,3,0),IFERROR(VLOOKUP($I125,'Privacy Analyst Evaluation'!$A$46:$F$120,3,0),""))&amp;""</f>
        <v/>
      </c>
      <c r="L125" s="241" t="str">
        <f>IFERROR(VLOOKUP($I125,'Institution Evaluation'!$A$55:$F$345,4,0),IFERROR(VLOOKUP($I125,'Privacy Analyst Evaluation'!$A$46:$F$120,4,0),""))&amp;""</f>
        <v/>
      </c>
      <c r="M125" s="241" t="str">
        <f>IFERROR(VLOOKUP($I125,'Institution Evaluation'!$A$55:$F$345,6,0),IFERROR(VLOOKUP($I125,'Privacy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ht="17" x14ac:dyDescent="0.2">
      <c r="A126" s="241" t="str">
        <f>IFERROR(IF($A125+1&gt;'(backend scoring)'!$T$335,"",$A125+1),"")</f>
        <v/>
      </c>
      <c r="B126" s="241" t="str">
        <f>_xlfn.XLOOKUP($A126,'(backend scoring)'!$V$2:$V$333,'(backend scoring)'!$A$2:$A$333,"")</f>
        <v/>
      </c>
      <c r="C126" s="241" t="str">
        <f>IFERROR(VLOOKUP($B126,'Institution Evaluation'!$A$55:$F$345,2,0),IFERROR(VLOOKUP($B126,'Privacy Analyst Evaluation'!$A$46:$F$120,2,0),""))&amp;""</f>
        <v/>
      </c>
      <c r="D126" s="241" t="str">
        <f>IFERROR(VLOOKUP($B126,'Institution Evaluation'!$A$55:$F$345,3,0),IFERROR(VLOOKUP($B126,'Privacy Analyst Evaluation'!$A$46:$F$120,3,0),""))&amp;""</f>
        <v/>
      </c>
      <c r="E126" s="241" t="str">
        <f>IFERROR(VLOOKUP($B126,'Institution Evaluation'!$A$55:$F$345,4,0),IFERROR(VLOOKUP($B126,'Privacy Analyst Evaluation'!$A$46:$F$120,4,0),""))&amp;""</f>
        <v/>
      </c>
      <c r="F126" s="241" t="str">
        <f>IFERROR(VLOOKUP($B126,'Institution Evaluation'!$A$55:$F$345,6,0),IFERROR(VLOOKUP($B126,'Privacy Analyst Evaluation'!$A$46:$F$120,6,0),""))&amp;""</f>
        <v/>
      </c>
      <c r="G126" s="242"/>
      <c r="H126" s="241" t="str">
        <f>IFERROR(IF($H125+1&gt;'(backend scoring)'!$Q$335,"",$H125+1),"")</f>
        <v/>
      </c>
      <c r="I126" s="241" t="str">
        <f>_xlfn.XLOOKUP($H126,'(backend scoring)'!$S$2:$S$333,'(backend scoring)'!$A$2:$A$333,"")</f>
        <v/>
      </c>
      <c r="J126" s="241" t="str">
        <f>IFERROR(VLOOKUP($I126,'Institution Evaluation'!$A$55:$F$345,2,0),IFERROR(VLOOKUP($I126,'Privacy Analyst Evaluation'!$A$46:$F$120,2,0),""))</f>
        <v/>
      </c>
      <c r="K126" s="241" t="str">
        <f>IFERROR(VLOOKUP($I126,'Institution Evaluation'!$A$55:$F$345,3,0),IFERROR(VLOOKUP($I126,'Privacy Analyst Evaluation'!$A$46:$F$120,3,0),""))&amp;""</f>
        <v/>
      </c>
      <c r="L126" s="241" t="str">
        <f>IFERROR(VLOOKUP($I126,'Institution Evaluation'!$A$55:$F$345,4,0),IFERROR(VLOOKUP($I126,'Privacy Analyst Evaluation'!$A$46:$F$120,4,0),""))&amp;""</f>
        <v/>
      </c>
      <c r="M126" s="241" t="str">
        <f>IFERROR(VLOOKUP($I126,'Institution Evaluation'!$A$55:$F$345,6,0),IFERROR(VLOOKUP($I126,'Privacy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ht="17" x14ac:dyDescent="0.2">
      <c r="A127" s="241" t="str">
        <f>IFERROR(IF($A126+1&gt;'(backend scoring)'!$T$335,"",$A126+1),"")</f>
        <v/>
      </c>
      <c r="B127" s="241" t="str">
        <f>_xlfn.XLOOKUP($A127,'(backend scoring)'!$V$2:$V$333,'(backend scoring)'!$A$2:$A$333,"")</f>
        <v/>
      </c>
      <c r="C127" s="241" t="str">
        <f>IFERROR(VLOOKUP($B127,'Institution Evaluation'!$A$55:$F$345,2,0),IFERROR(VLOOKUP($B127,'Privacy Analyst Evaluation'!$A$46:$F$120,2,0),""))&amp;""</f>
        <v/>
      </c>
      <c r="D127" s="241" t="str">
        <f>IFERROR(VLOOKUP($B127,'Institution Evaluation'!$A$55:$F$345,3,0),IFERROR(VLOOKUP($B127,'Privacy Analyst Evaluation'!$A$46:$F$120,3,0),""))&amp;""</f>
        <v/>
      </c>
      <c r="E127" s="241" t="str">
        <f>IFERROR(VLOOKUP($B127,'Institution Evaluation'!$A$55:$F$345,4,0),IFERROR(VLOOKUP($B127,'Privacy Analyst Evaluation'!$A$46:$F$120,4,0),""))&amp;""</f>
        <v/>
      </c>
      <c r="F127" s="241" t="str">
        <f>IFERROR(VLOOKUP($B127,'Institution Evaluation'!$A$55:$F$345,6,0),IFERROR(VLOOKUP($B127,'Privacy Analyst Evaluation'!$A$46:$F$120,6,0),""))&amp;""</f>
        <v/>
      </c>
      <c r="G127" s="242"/>
      <c r="H127" s="241" t="str">
        <f>IFERROR(IF($H126+1&gt;'(backend scoring)'!$Q$335,"",$H126+1),"")</f>
        <v/>
      </c>
      <c r="I127" s="241" t="str">
        <f>_xlfn.XLOOKUP($H127,'(backend scoring)'!$S$2:$S$333,'(backend scoring)'!$A$2:$A$333,"")</f>
        <v/>
      </c>
      <c r="J127" s="241" t="str">
        <f>IFERROR(VLOOKUP($I127,'Institution Evaluation'!$A$55:$F$345,2,0),IFERROR(VLOOKUP($I127,'Privacy Analyst Evaluation'!$A$46:$F$120,2,0),""))</f>
        <v/>
      </c>
      <c r="K127" s="241" t="str">
        <f>IFERROR(VLOOKUP($I127,'Institution Evaluation'!$A$55:$F$345,3,0),IFERROR(VLOOKUP($I127,'Privacy Analyst Evaluation'!$A$46:$F$120,3,0),""))&amp;""</f>
        <v/>
      </c>
      <c r="L127" s="241" t="str">
        <f>IFERROR(VLOOKUP($I127,'Institution Evaluation'!$A$55:$F$345,4,0),IFERROR(VLOOKUP($I127,'Privacy Analyst Evaluation'!$A$46:$F$120,4,0),""))&amp;""</f>
        <v/>
      </c>
      <c r="M127" s="241" t="str">
        <f>IFERROR(VLOOKUP($I127,'Institution Evaluation'!$A$55:$F$345,6,0),IFERROR(VLOOKUP($I127,'Privacy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ht="17" x14ac:dyDescent="0.2">
      <c r="A128" s="241" t="str">
        <f>IFERROR(IF($A127+1&gt;'(backend scoring)'!$T$335,"",$A127+1),"")</f>
        <v/>
      </c>
      <c r="B128" s="241" t="str">
        <f>_xlfn.XLOOKUP($A128,'(backend scoring)'!$V$2:$V$333,'(backend scoring)'!$A$2:$A$333,"")</f>
        <v/>
      </c>
      <c r="C128" s="241" t="str">
        <f>IFERROR(VLOOKUP($B128,'Institution Evaluation'!$A$55:$F$345,2,0),IFERROR(VLOOKUP($B128,'Privacy Analyst Evaluation'!$A$46:$F$120,2,0),""))&amp;""</f>
        <v/>
      </c>
      <c r="D128" s="241" t="str">
        <f>IFERROR(VLOOKUP($B128,'Institution Evaluation'!$A$55:$F$345,3,0),IFERROR(VLOOKUP($B128,'Privacy Analyst Evaluation'!$A$46:$F$120,3,0),""))&amp;""</f>
        <v/>
      </c>
      <c r="E128" s="241" t="str">
        <f>IFERROR(VLOOKUP($B128,'Institution Evaluation'!$A$55:$F$345,4,0),IFERROR(VLOOKUP($B128,'Privacy Analyst Evaluation'!$A$46:$F$120,4,0),""))&amp;""</f>
        <v/>
      </c>
      <c r="F128" s="241" t="str">
        <f>IFERROR(VLOOKUP($B128,'Institution Evaluation'!$A$55:$F$345,6,0),IFERROR(VLOOKUP($B128,'Privacy Analyst Evaluation'!$A$46:$F$120,6,0),""))&amp;""</f>
        <v/>
      </c>
      <c r="G128" s="242"/>
      <c r="H128" s="241" t="str">
        <f>IFERROR(IF($H127+1&gt;'(backend scoring)'!$Q$335,"",$H127+1),"")</f>
        <v/>
      </c>
      <c r="I128" s="241" t="str">
        <f>_xlfn.XLOOKUP($H128,'(backend scoring)'!$S$2:$S$333,'(backend scoring)'!$A$2:$A$333,"")</f>
        <v/>
      </c>
      <c r="J128" s="241" t="str">
        <f>IFERROR(VLOOKUP($I128,'Institution Evaluation'!$A$55:$F$345,2,0),IFERROR(VLOOKUP($I128,'Privacy Analyst Evaluation'!$A$46:$F$120,2,0),""))</f>
        <v/>
      </c>
      <c r="K128" s="241" t="str">
        <f>IFERROR(VLOOKUP($I128,'Institution Evaluation'!$A$55:$F$345,3,0),IFERROR(VLOOKUP($I128,'Privacy Analyst Evaluation'!$A$46:$F$120,3,0),""))&amp;""</f>
        <v/>
      </c>
      <c r="L128" s="241" t="str">
        <f>IFERROR(VLOOKUP($I128,'Institution Evaluation'!$A$55:$F$345,4,0),IFERROR(VLOOKUP($I128,'Privacy Analyst Evaluation'!$A$46:$F$120,4,0),""))&amp;""</f>
        <v/>
      </c>
      <c r="M128" s="241" t="str">
        <f>IFERROR(VLOOKUP($I128,'Institution Evaluation'!$A$55:$F$345,6,0),IFERROR(VLOOKUP($I128,'Privacy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ht="17" x14ac:dyDescent="0.2">
      <c r="A129" s="241" t="str">
        <f>IFERROR(IF($A128+1&gt;'(backend scoring)'!$T$335,"",$A128+1),"")</f>
        <v/>
      </c>
      <c r="B129" s="241" t="str">
        <f>_xlfn.XLOOKUP($A129,'(backend scoring)'!$V$2:$V$333,'(backend scoring)'!$A$2:$A$333,"")</f>
        <v/>
      </c>
      <c r="C129" s="241" t="str">
        <f>IFERROR(VLOOKUP($B129,'Institution Evaluation'!$A$55:$F$345,2,0),IFERROR(VLOOKUP($B129,'Privacy Analyst Evaluation'!$A$46:$F$120,2,0),""))&amp;""</f>
        <v/>
      </c>
      <c r="D129" s="241" t="str">
        <f>IFERROR(VLOOKUP($B129,'Institution Evaluation'!$A$55:$F$345,3,0),IFERROR(VLOOKUP($B129,'Privacy Analyst Evaluation'!$A$46:$F$120,3,0),""))&amp;""</f>
        <v/>
      </c>
      <c r="E129" s="241" t="str">
        <f>IFERROR(VLOOKUP($B129,'Institution Evaluation'!$A$55:$F$345,4,0),IFERROR(VLOOKUP($B129,'Privacy Analyst Evaluation'!$A$46:$F$120,4,0),""))&amp;""</f>
        <v/>
      </c>
      <c r="F129" s="241" t="str">
        <f>IFERROR(VLOOKUP($B129,'Institution Evaluation'!$A$55:$F$345,6,0),IFERROR(VLOOKUP($B129,'Privacy Analyst Evaluation'!$A$46:$F$120,6,0),""))&amp;""</f>
        <v/>
      </c>
      <c r="G129" s="242"/>
      <c r="H129" s="241" t="str">
        <f>IFERROR(IF($H128+1&gt;'(backend scoring)'!$Q$335,"",$H128+1),"")</f>
        <v/>
      </c>
      <c r="I129" s="241" t="str">
        <f>_xlfn.XLOOKUP($H129,'(backend scoring)'!$S$2:$S$333,'(backend scoring)'!$A$2:$A$333,"")</f>
        <v/>
      </c>
      <c r="J129" s="241" t="str">
        <f>IFERROR(VLOOKUP($I129,'Institution Evaluation'!$A$55:$F$345,2,0),IFERROR(VLOOKUP($I129,'Privacy Analyst Evaluation'!$A$46:$F$120,2,0),""))</f>
        <v/>
      </c>
      <c r="K129" s="241" t="str">
        <f>IFERROR(VLOOKUP($I129,'Institution Evaluation'!$A$55:$F$345,3,0),IFERROR(VLOOKUP($I129,'Privacy Analyst Evaluation'!$A$46:$F$120,3,0),""))&amp;""</f>
        <v/>
      </c>
      <c r="L129" s="241" t="str">
        <f>IFERROR(VLOOKUP($I129,'Institution Evaluation'!$A$55:$F$345,4,0),IFERROR(VLOOKUP($I129,'Privacy Analyst Evaluation'!$A$46:$F$120,4,0),""))&amp;""</f>
        <v/>
      </c>
      <c r="M129" s="241" t="str">
        <f>IFERROR(VLOOKUP($I129,'Institution Evaluation'!$A$55:$F$345,6,0),IFERROR(VLOOKUP($I129,'Privacy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ht="17" x14ac:dyDescent="0.2">
      <c r="A130" s="241" t="str">
        <f>IFERROR(IF($A129+1&gt;'(backend scoring)'!$T$335,"",$A129+1),"")</f>
        <v/>
      </c>
      <c r="B130" s="241" t="str">
        <f>_xlfn.XLOOKUP($A130,'(backend scoring)'!$V$2:$V$333,'(backend scoring)'!$A$2:$A$333,"")</f>
        <v/>
      </c>
      <c r="C130" s="241" t="str">
        <f>IFERROR(VLOOKUP($B130,'Institution Evaluation'!$A$55:$F$345,2,0),IFERROR(VLOOKUP($B130,'Privacy Analyst Evaluation'!$A$46:$F$120,2,0),""))&amp;""</f>
        <v/>
      </c>
      <c r="D130" s="241" t="str">
        <f>IFERROR(VLOOKUP($B130,'Institution Evaluation'!$A$55:$F$345,3,0),IFERROR(VLOOKUP($B130,'Privacy Analyst Evaluation'!$A$46:$F$120,3,0),""))&amp;""</f>
        <v/>
      </c>
      <c r="E130" s="241" t="str">
        <f>IFERROR(VLOOKUP($B130,'Institution Evaluation'!$A$55:$F$345,4,0),IFERROR(VLOOKUP($B130,'Privacy Analyst Evaluation'!$A$46:$F$120,4,0),""))&amp;""</f>
        <v/>
      </c>
      <c r="F130" s="241" t="str">
        <f>IFERROR(VLOOKUP($B130,'Institution Evaluation'!$A$55:$F$345,6,0),IFERROR(VLOOKUP($B130,'Privacy Analyst Evaluation'!$A$46:$F$120,6,0),""))&amp;""</f>
        <v/>
      </c>
      <c r="G130" s="242"/>
      <c r="H130" s="241" t="str">
        <f>IFERROR(IF($H129+1&gt;'(backend scoring)'!$Q$335,"",$H129+1),"")</f>
        <v/>
      </c>
      <c r="I130" s="241" t="str">
        <f>_xlfn.XLOOKUP($H130,'(backend scoring)'!$S$2:$S$333,'(backend scoring)'!$A$2:$A$333,"")</f>
        <v/>
      </c>
      <c r="J130" s="241" t="str">
        <f>IFERROR(VLOOKUP($I130,'Institution Evaluation'!$A$55:$F$345,2,0),IFERROR(VLOOKUP($I130,'Privacy Analyst Evaluation'!$A$46:$F$120,2,0),""))</f>
        <v/>
      </c>
      <c r="K130" s="241" t="str">
        <f>IFERROR(VLOOKUP($I130,'Institution Evaluation'!$A$55:$F$345,3,0),IFERROR(VLOOKUP($I130,'Privacy Analyst Evaluation'!$A$46:$F$120,3,0),""))&amp;""</f>
        <v/>
      </c>
      <c r="L130" s="241" t="str">
        <f>IFERROR(VLOOKUP($I130,'Institution Evaluation'!$A$55:$F$345,4,0),IFERROR(VLOOKUP($I130,'Privacy Analyst Evaluation'!$A$46:$F$120,4,0),""))&amp;""</f>
        <v/>
      </c>
      <c r="M130" s="241" t="str">
        <f>IFERROR(VLOOKUP($I130,'Institution Evaluation'!$A$55:$F$345,6,0),IFERROR(VLOOKUP($I130,'Privacy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ht="17" x14ac:dyDescent="0.2">
      <c r="A131" s="241" t="str">
        <f>IFERROR(IF($A130+1&gt;'(backend scoring)'!$T$335,"",$A130+1),"")</f>
        <v/>
      </c>
      <c r="B131" s="241" t="str">
        <f>_xlfn.XLOOKUP($A131,'(backend scoring)'!$V$2:$V$333,'(backend scoring)'!$A$2:$A$333,"")</f>
        <v/>
      </c>
      <c r="C131" s="241" t="str">
        <f>IFERROR(VLOOKUP($B131,'Institution Evaluation'!$A$55:$F$345,2,0),IFERROR(VLOOKUP($B131,'Privacy Analyst Evaluation'!$A$46:$F$120,2,0),""))&amp;""</f>
        <v/>
      </c>
      <c r="D131" s="241" t="str">
        <f>IFERROR(VLOOKUP($B131,'Institution Evaluation'!$A$55:$F$345,3,0),IFERROR(VLOOKUP($B131,'Privacy Analyst Evaluation'!$A$46:$F$120,3,0),""))&amp;""</f>
        <v/>
      </c>
      <c r="E131" s="241" t="str">
        <f>IFERROR(VLOOKUP($B131,'Institution Evaluation'!$A$55:$F$345,4,0),IFERROR(VLOOKUP($B131,'Privacy Analyst Evaluation'!$A$46:$F$120,4,0),""))&amp;""</f>
        <v/>
      </c>
      <c r="F131" s="241" t="str">
        <f>IFERROR(VLOOKUP($B131,'Institution Evaluation'!$A$55:$F$345,6,0),IFERROR(VLOOKUP($B131,'Privacy Analyst Evaluation'!$A$46:$F$120,6,0),""))&amp;""</f>
        <v/>
      </c>
      <c r="G131" s="242"/>
      <c r="H131" s="241" t="str">
        <f>IFERROR(IF($H130+1&gt;'(backend scoring)'!$Q$335,"",$H130+1),"")</f>
        <v/>
      </c>
      <c r="I131" s="241" t="str">
        <f>_xlfn.XLOOKUP($H131,'(backend scoring)'!$S$2:$S$333,'(backend scoring)'!$A$2:$A$333,"")</f>
        <v/>
      </c>
      <c r="J131" s="241" t="str">
        <f>IFERROR(VLOOKUP($I131,'Institution Evaluation'!$A$55:$F$345,2,0),IFERROR(VLOOKUP($I131,'Privacy Analyst Evaluation'!$A$46:$F$120,2,0),""))</f>
        <v/>
      </c>
      <c r="K131" s="241" t="str">
        <f>IFERROR(VLOOKUP($I131,'Institution Evaluation'!$A$55:$F$345,3,0),IFERROR(VLOOKUP($I131,'Privacy Analyst Evaluation'!$A$46:$F$120,3,0),""))&amp;""</f>
        <v/>
      </c>
      <c r="L131" s="241" t="str">
        <f>IFERROR(VLOOKUP($I131,'Institution Evaluation'!$A$55:$F$345,4,0),IFERROR(VLOOKUP($I131,'Privacy Analyst Evaluation'!$A$46:$F$120,4,0),""))&amp;""</f>
        <v/>
      </c>
      <c r="M131" s="241" t="str">
        <f>IFERROR(VLOOKUP($I131,'Institution Evaluation'!$A$55:$F$345,6,0),IFERROR(VLOOKUP($I131,'Privacy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ht="17" x14ac:dyDescent="0.2">
      <c r="A132" s="241" t="str">
        <f>IFERROR(IF($A131+1&gt;'(backend scoring)'!$T$335,"",$A131+1),"")</f>
        <v/>
      </c>
      <c r="B132" s="241" t="str">
        <f>_xlfn.XLOOKUP($A132,'(backend scoring)'!$V$2:$V$333,'(backend scoring)'!$A$2:$A$333,"")</f>
        <v/>
      </c>
      <c r="C132" s="241" t="str">
        <f>IFERROR(VLOOKUP($B132,'Institution Evaluation'!$A$55:$F$345,2,0),IFERROR(VLOOKUP($B132,'Privacy Analyst Evaluation'!$A$46:$F$120,2,0),""))&amp;""</f>
        <v/>
      </c>
      <c r="D132" s="241" t="str">
        <f>IFERROR(VLOOKUP($B132,'Institution Evaluation'!$A$55:$F$345,3,0),IFERROR(VLOOKUP($B132,'Privacy Analyst Evaluation'!$A$46:$F$120,3,0),""))&amp;""</f>
        <v/>
      </c>
      <c r="E132" s="241" t="str">
        <f>IFERROR(VLOOKUP($B132,'Institution Evaluation'!$A$55:$F$345,4,0),IFERROR(VLOOKUP($B132,'Privacy Analyst Evaluation'!$A$46:$F$120,4,0),""))&amp;""</f>
        <v/>
      </c>
      <c r="F132" s="241" t="str">
        <f>IFERROR(VLOOKUP($B132,'Institution Evaluation'!$A$55:$F$345,6,0),IFERROR(VLOOKUP($B132,'Privacy Analyst Evaluation'!$A$46:$F$120,6,0),""))&amp;""</f>
        <v/>
      </c>
      <c r="G132" s="242"/>
      <c r="H132" s="241" t="str">
        <f>IFERROR(IF($H131+1&gt;'(backend scoring)'!$Q$335,"",$H131+1),"")</f>
        <v/>
      </c>
      <c r="I132" s="241" t="str">
        <f>_xlfn.XLOOKUP($H132,'(backend scoring)'!$S$2:$S$333,'(backend scoring)'!$A$2:$A$333,"")</f>
        <v/>
      </c>
      <c r="J132" s="241" t="str">
        <f>IFERROR(VLOOKUP($I132,'Institution Evaluation'!$A$55:$F$345,2,0),IFERROR(VLOOKUP($I132,'Privacy Analyst Evaluation'!$A$46:$F$120,2,0),""))</f>
        <v/>
      </c>
      <c r="K132" s="241" t="str">
        <f>IFERROR(VLOOKUP($I132,'Institution Evaluation'!$A$55:$F$345,3,0),IFERROR(VLOOKUP($I132,'Privacy Analyst Evaluation'!$A$46:$F$120,3,0),""))&amp;""</f>
        <v/>
      </c>
      <c r="L132" s="241" t="str">
        <f>IFERROR(VLOOKUP($I132,'Institution Evaluation'!$A$55:$F$345,4,0),IFERROR(VLOOKUP($I132,'Privacy Analyst Evaluation'!$A$46:$F$120,4,0),""))&amp;""</f>
        <v/>
      </c>
      <c r="M132" s="241" t="str">
        <f>IFERROR(VLOOKUP($I132,'Institution Evaluation'!$A$55:$F$345,6,0),IFERROR(VLOOKUP($I132,'Privacy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ht="17" x14ac:dyDescent="0.2">
      <c r="A133" s="241" t="str">
        <f>IFERROR(IF($A132+1&gt;'(backend scoring)'!$T$335,"",$A132+1),"")</f>
        <v/>
      </c>
      <c r="B133" s="241" t="str">
        <f>_xlfn.XLOOKUP($A133,'(backend scoring)'!$V$2:$V$333,'(backend scoring)'!$A$2:$A$333,"")</f>
        <v/>
      </c>
      <c r="C133" s="241" t="str">
        <f>IFERROR(VLOOKUP($B133,'Institution Evaluation'!$A$55:$F$345,2,0),IFERROR(VLOOKUP($B133,'Privacy Analyst Evaluation'!$A$46:$F$120,2,0),""))&amp;""</f>
        <v/>
      </c>
      <c r="D133" s="241" t="str">
        <f>IFERROR(VLOOKUP($B133,'Institution Evaluation'!$A$55:$F$345,3,0),IFERROR(VLOOKUP($B133,'Privacy Analyst Evaluation'!$A$46:$F$120,3,0),""))&amp;""</f>
        <v/>
      </c>
      <c r="E133" s="241" t="str">
        <f>IFERROR(VLOOKUP($B133,'Institution Evaluation'!$A$55:$F$345,4,0),IFERROR(VLOOKUP($B133,'Privacy Analyst Evaluation'!$A$46:$F$120,4,0),""))&amp;""</f>
        <v/>
      </c>
      <c r="F133" s="241" t="str">
        <f>IFERROR(VLOOKUP($B133,'Institution Evaluation'!$A$55:$F$345,6,0),IFERROR(VLOOKUP($B133,'Privacy Analyst Evaluation'!$A$46:$F$120,6,0),""))&amp;""</f>
        <v/>
      </c>
      <c r="G133" s="242"/>
      <c r="H133" s="241" t="str">
        <f>IFERROR(IF($H132+1&gt;'(backend scoring)'!$Q$335,"",$H132+1),"")</f>
        <v/>
      </c>
      <c r="I133" s="241" t="str">
        <f>_xlfn.XLOOKUP($H133,'(backend scoring)'!$S$2:$S$333,'(backend scoring)'!$A$2:$A$333,"")</f>
        <v/>
      </c>
      <c r="J133" s="241" t="str">
        <f>IFERROR(VLOOKUP($I133,'Institution Evaluation'!$A$55:$F$345,2,0),IFERROR(VLOOKUP($I133,'Privacy Analyst Evaluation'!$A$46:$F$120,2,0),""))</f>
        <v/>
      </c>
      <c r="K133" s="241" t="str">
        <f>IFERROR(VLOOKUP($I133,'Institution Evaluation'!$A$55:$F$345,3,0),IFERROR(VLOOKUP($I133,'Privacy Analyst Evaluation'!$A$46:$F$120,3,0),""))&amp;""</f>
        <v/>
      </c>
      <c r="L133" s="241" t="str">
        <f>IFERROR(VLOOKUP($I133,'Institution Evaluation'!$A$55:$F$345,4,0),IFERROR(VLOOKUP($I133,'Privacy Analyst Evaluation'!$A$46:$F$120,4,0),""))&amp;""</f>
        <v/>
      </c>
      <c r="M133" s="241" t="str">
        <f>IFERROR(VLOOKUP($I133,'Institution Evaluation'!$A$55:$F$345,6,0),IFERROR(VLOOKUP($I133,'Privacy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ht="17" x14ac:dyDescent="0.2">
      <c r="A134" s="241" t="str">
        <f>IFERROR(IF($A133+1&gt;'(backend scoring)'!$T$335,"",$A133+1),"")</f>
        <v/>
      </c>
      <c r="B134" s="241" t="str">
        <f>_xlfn.XLOOKUP($A134,'(backend scoring)'!$V$2:$V$333,'(backend scoring)'!$A$2:$A$333,"")</f>
        <v/>
      </c>
      <c r="C134" s="241" t="str">
        <f>IFERROR(VLOOKUP($B134,'Institution Evaluation'!$A$55:$F$345,2,0),IFERROR(VLOOKUP($B134,'Privacy Analyst Evaluation'!$A$46:$F$120,2,0),""))&amp;""</f>
        <v/>
      </c>
      <c r="D134" s="241" t="str">
        <f>IFERROR(VLOOKUP($B134,'Institution Evaluation'!$A$55:$F$345,3,0),IFERROR(VLOOKUP($B134,'Privacy Analyst Evaluation'!$A$46:$F$120,3,0),""))&amp;""</f>
        <v/>
      </c>
      <c r="E134" s="241" t="str">
        <f>IFERROR(VLOOKUP($B134,'Institution Evaluation'!$A$55:$F$345,4,0),IFERROR(VLOOKUP($B134,'Privacy Analyst Evaluation'!$A$46:$F$120,4,0),""))&amp;""</f>
        <v/>
      </c>
      <c r="F134" s="241" t="str">
        <f>IFERROR(VLOOKUP($B134,'Institution Evaluation'!$A$55:$F$345,6,0),IFERROR(VLOOKUP($B134,'Privacy Analyst Evaluation'!$A$46:$F$120,6,0),""))&amp;""</f>
        <v/>
      </c>
      <c r="G134" s="242"/>
      <c r="H134" s="241" t="str">
        <f>IFERROR(IF($H133+1&gt;'(backend scoring)'!$Q$335,"",$H133+1),"")</f>
        <v/>
      </c>
      <c r="I134" s="241" t="str">
        <f>_xlfn.XLOOKUP($H134,'(backend scoring)'!$S$2:$S$333,'(backend scoring)'!$A$2:$A$333,"")</f>
        <v/>
      </c>
      <c r="J134" s="241" t="str">
        <f>IFERROR(VLOOKUP($I134,'Institution Evaluation'!$A$55:$F$345,2,0),IFERROR(VLOOKUP($I134,'Privacy Analyst Evaluation'!$A$46:$F$120,2,0),""))</f>
        <v/>
      </c>
      <c r="K134" s="241" t="str">
        <f>IFERROR(VLOOKUP($I134,'Institution Evaluation'!$A$55:$F$345,3,0),IFERROR(VLOOKUP($I134,'Privacy Analyst Evaluation'!$A$46:$F$120,3,0),""))&amp;""</f>
        <v/>
      </c>
      <c r="L134" s="241" t="str">
        <f>IFERROR(VLOOKUP($I134,'Institution Evaluation'!$A$55:$F$345,4,0),IFERROR(VLOOKUP($I134,'Privacy Analyst Evaluation'!$A$46:$F$120,4,0),""))&amp;""</f>
        <v/>
      </c>
      <c r="M134" s="241" t="str">
        <f>IFERROR(VLOOKUP($I134,'Institution Evaluation'!$A$55:$F$345,6,0),IFERROR(VLOOKUP($I134,'Privacy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ht="17" x14ac:dyDescent="0.2">
      <c r="A135" s="241" t="str">
        <f>IFERROR(IF($A134+1&gt;'(backend scoring)'!$T$335,"",$A134+1),"")</f>
        <v/>
      </c>
      <c r="B135" s="241" t="str">
        <f>_xlfn.XLOOKUP($A135,'(backend scoring)'!$V$2:$V$333,'(backend scoring)'!$A$2:$A$333,"")</f>
        <v/>
      </c>
      <c r="C135" s="241" t="str">
        <f>IFERROR(VLOOKUP($B135,'Institution Evaluation'!$A$55:$F$345,2,0),IFERROR(VLOOKUP($B135,'Privacy Analyst Evaluation'!$A$46:$F$120,2,0),""))&amp;""</f>
        <v/>
      </c>
      <c r="D135" s="241" t="str">
        <f>IFERROR(VLOOKUP($B135,'Institution Evaluation'!$A$55:$F$345,3,0),IFERROR(VLOOKUP($B135,'Privacy Analyst Evaluation'!$A$46:$F$120,3,0),""))&amp;""</f>
        <v/>
      </c>
      <c r="E135" s="241" t="str">
        <f>IFERROR(VLOOKUP($B135,'Institution Evaluation'!$A$55:$F$345,4,0),IFERROR(VLOOKUP($B135,'Privacy Analyst Evaluation'!$A$46:$F$120,4,0),""))&amp;""</f>
        <v/>
      </c>
      <c r="F135" s="241" t="str">
        <f>IFERROR(VLOOKUP($B135,'Institution Evaluation'!$A$55:$F$345,6,0),IFERROR(VLOOKUP($B135,'Privacy Analyst Evaluation'!$A$46:$F$120,6,0),""))&amp;""</f>
        <v/>
      </c>
      <c r="G135" s="242"/>
      <c r="H135" s="241" t="str">
        <f>IFERROR(IF($H134+1&gt;'(backend scoring)'!$Q$335,"",$H134+1),"")</f>
        <v/>
      </c>
      <c r="I135" s="241" t="str">
        <f>_xlfn.XLOOKUP($H135,'(backend scoring)'!$S$2:$S$333,'(backend scoring)'!$A$2:$A$333,"")</f>
        <v/>
      </c>
      <c r="J135" s="241" t="str">
        <f>IFERROR(VLOOKUP($I135,'Institution Evaluation'!$A$55:$F$345,2,0),IFERROR(VLOOKUP($I135,'Privacy Analyst Evaluation'!$A$46:$F$120,2,0),""))</f>
        <v/>
      </c>
      <c r="K135" s="241" t="str">
        <f>IFERROR(VLOOKUP($I135,'Institution Evaluation'!$A$55:$F$345,3,0),IFERROR(VLOOKUP($I135,'Privacy Analyst Evaluation'!$A$46:$F$120,3,0),""))&amp;""</f>
        <v/>
      </c>
      <c r="L135" s="241" t="str">
        <f>IFERROR(VLOOKUP($I135,'Institution Evaluation'!$A$55:$F$345,4,0),IFERROR(VLOOKUP($I135,'Privacy Analyst Evaluation'!$A$46:$F$120,4,0),""))&amp;""</f>
        <v/>
      </c>
      <c r="M135" s="241" t="str">
        <f>IFERROR(VLOOKUP($I135,'Institution Evaluation'!$A$55:$F$345,6,0),IFERROR(VLOOKUP($I135,'Privacy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ht="17" x14ac:dyDescent="0.2">
      <c r="A136" s="241" t="str">
        <f>IFERROR(IF($A135+1&gt;'(backend scoring)'!$T$335,"",$A135+1),"")</f>
        <v/>
      </c>
      <c r="B136" s="241" t="str">
        <f>_xlfn.XLOOKUP($A136,'(backend scoring)'!$V$2:$V$333,'(backend scoring)'!$A$2:$A$333,"")</f>
        <v/>
      </c>
      <c r="C136" s="241" t="str">
        <f>IFERROR(VLOOKUP($B136,'Institution Evaluation'!$A$55:$F$345,2,0),IFERROR(VLOOKUP($B136,'Privacy Analyst Evaluation'!$A$46:$F$120,2,0),""))&amp;""</f>
        <v/>
      </c>
      <c r="D136" s="241" t="str">
        <f>IFERROR(VLOOKUP($B136,'Institution Evaluation'!$A$55:$F$345,3,0),IFERROR(VLOOKUP($B136,'Privacy Analyst Evaluation'!$A$46:$F$120,3,0),""))&amp;""</f>
        <v/>
      </c>
      <c r="E136" s="241" t="str">
        <f>IFERROR(VLOOKUP($B136,'Institution Evaluation'!$A$55:$F$345,4,0),IFERROR(VLOOKUP($B136,'Privacy Analyst Evaluation'!$A$46:$F$120,4,0),""))&amp;""</f>
        <v/>
      </c>
      <c r="F136" s="241" t="str">
        <f>IFERROR(VLOOKUP($B136,'Institution Evaluation'!$A$55:$F$345,6,0),IFERROR(VLOOKUP($B136,'Privacy Analyst Evaluation'!$A$46:$F$120,6,0),""))&amp;""</f>
        <v/>
      </c>
      <c r="G136" s="242"/>
      <c r="H136" s="241" t="str">
        <f>IFERROR(IF($H135+1&gt;'(backend scoring)'!$Q$335,"",$H135+1),"")</f>
        <v/>
      </c>
      <c r="I136" s="241" t="str">
        <f>_xlfn.XLOOKUP($H136,'(backend scoring)'!$S$2:$S$333,'(backend scoring)'!$A$2:$A$333,"")</f>
        <v/>
      </c>
      <c r="J136" s="241" t="str">
        <f>IFERROR(VLOOKUP($I136,'Institution Evaluation'!$A$55:$F$345,2,0),IFERROR(VLOOKUP($I136,'Privacy Analyst Evaluation'!$A$46:$F$120,2,0),""))</f>
        <v/>
      </c>
      <c r="K136" s="241" t="str">
        <f>IFERROR(VLOOKUP($I136,'Institution Evaluation'!$A$55:$F$345,3,0),IFERROR(VLOOKUP($I136,'Privacy Analyst Evaluation'!$A$46:$F$120,3,0),""))&amp;""</f>
        <v/>
      </c>
      <c r="L136" s="241" t="str">
        <f>IFERROR(VLOOKUP($I136,'Institution Evaluation'!$A$55:$F$345,4,0),IFERROR(VLOOKUP($I136,'Privacy Analyst Evaluation'!$A$46:$F$120,4,0),""))&amp;""</f>
        <v/>
      </c>
      <c r="M136" s="241" t="str">
        <f>IFERROR(VLOOKUP($I136,'Institution Evaluation'!$A$55:$F$345,6,0),IFERROR(VLOOKUP($I136,'Privacy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ht="17" x14ac:dyDescent="0.2">
      <c r="A137" s="241" t="str">
        <f>IFERROR(IF($A136+1&gt;'(backend scoring)'!$T$335,"",$A136+1),"")</f>
        <v/>
      </c>
      <c r="B137" s="241" t="str">
        <f>_xlfn.XLOOKUP($A137,'(backend scoring)'!$V$2:$V$333,'(backend scoring)'!$A$2:$A$333,"")</f>
        <v/>
      </c>
      <c r="C137" s="241" t="str">
        <f>IFERROR(VLOOKUP($B137,'Institution Evaluation'!$A$55:$F$345,2,0),IFERROR(VLOOKUP($B137,'Privacy Analyst Evaluation'!$A$46:$F$120,2,0),""))&amp;""</f>
        <v/>
      </c>
      <c r="D137" s="241" t="str">
        <f>IFERROR(VLOOKUP($B137,'Institution Evaluation'!$A$55:$F$345,3,0),IFERROR(VLOOKUP($B137,'Privacy Analyst Evaluation'!$A$46:$F$120,3,0),""))&amp;""</f>
        <v/>
      </c>
      <c r="E137" s="241" t="str">
        <f>IFERROR(VLOOKUP($B137,'Institution Evaluation'!$A$55:$F$345,4,0),IFERROR(VLOOKUP($B137,'Privacy Analyst Evaluation'!$A$46:$F$120,4,0),""))&amp;""</f>
        <v/>
      </c>
      <c r="F137" s="241" t="str">
        <f>IFERROR(VLOOKUP($B137,'Institution Evaluation'!$A$55:$F$345,6,0),IFERROR(VLOOKUP($B137,'Privacy Analyst Evaluation'!$A$46:$F$120,6,0),""))&amp;""</f>
        <v/>
      </c>
      <c r="G137" s="242"/>
      <c r="H137" s="241" t="str">
        <f>IFERROR(IF($H136+1&gt;'(backend scoring)'!$Q$335,"",$H136+1),"")</f>
        <v/>
      </c>
      <c r="I137" s="241" t="str">
        <f>_xlfn.XLOOKUP($H137,'(backend scoring)'!$S$2:$S$333,'(backend scoring)'!$A$2:$A$333,"")</f>
        <v/>
      </c>
      <c r="J137" s="241" t="str">
        <f>IFERROR(VLOOKUP($I137,'Institution Evaluation'!$A$55:$F$345,2,0),IFERROR(VLOOKUP($I137,'Privacy Analyst Evaluation'!$A$46:$F$120,2,0),""))</f>
        <v/>
      </c>
      <c r="K137" s="241" t="str">
        <f>IFERROR(VLOOKUP($I137,'Institution Evaluation'!$A$55:$F$345,3,0),IFERROR(VLOOKUP($I137,'Privacy Analyst Evaluation'!$A$46:$F$120,3,0),""))&amp;""</f>
        <v/>
      </c>
      <c r="L137" s="241" t="str">
        <f>IFERROR(VLOOKUP($I137,'Institution Evaluation'!$A$55:$F$345,4,0),IFERROR(VLOOKUP($I137,'Privacy Analyst Evaluation'!$A$46:$F$120,4,0),""))&amp;""</f>
        <v/>
      </c>
      <c r="M137" s="241" t="str">
        <f>IFERROR(VLOOKUP($I137,'Institution Evaluation'!$A$55:$F$345,6,0),IFERROR(VLOOKUP($I137,'Privacy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ht="17" x14ac:dyDescent="0.2">
      <c r="A138" s="241" t="str">
        <f>IFERROR(IF($A137+1&gt;'(backend scoring)'!$T$335,"",$A137+1),"")</f>
        <v/>
      </c>
      <c r="B138" s="241" t="str">
        <f>_xlfn.XLOOKUP($A138,'(backend scoring)'!$V$2:$V$333,'(backend scoring)'!$A$2:$A$333,"")</f>
        <v/>
      </c>
      <c r="C138" s="241" t="str">
        <f>IFERROR(VLOOKUP($B138,'Institution Evaluation'!$A$55:$F$345,2,0),IFERROR(VLOOKUP($B138,'Privacy Analyst Evaluation'!$A$46:$F$120,2,0),""))&amp;""</f>
        <v/>
      </c>
      <c r="D138" s="241" t="str">
        <f>IFERROR(VLOOKUP($B138,'Institution Evaluation'!$A$55:$F$345,3,0),IFERROR(VLOOKUP($B138,'Privacy Analyst Evaluation'!$A$46:$F$120,3,0),""))&amp;""</f>
        <v/>
      </c>
      <c r="E138" s="241" t="str">
        <f>IFERROR(VLOOKUP($B138,'Institution Evaluation'!$A$55:$F$345,4,0),IFERROR(VLOOKUP($B138,'Privacy Analyst Evaluation'!$A$46:$F$120,4,0),""))&amp;""</f>
        <v/>
      </c>
      <c r="F138" s="241" t="str">
        <f>IFERROR(VLOOKUP($B138,'Institution Evaluation'!$A$55:$F$345,6,0),IFERROR(VLOOKUP($B138,'Privacy Analyst Evaluation'!$A$46:$F$120,6,0),""))&amp;""</f>
        <v/>
      </c>
      <c r="G138" s="242"/>
      <c r="H138" s="241" t="str">
        <f>IFERROR(IF($H137+1&gt;'(backend scoring)'!$Q$335,"",$H137+1),"")</f>
        <v/>
      </c>
      <c r="I138" s="241" t="str">
        <f>_xlfn.XLOOKUP($H138,'(backend scoring)'!$S$2:$S$333,'(backend scoring)'!$A$2:$A$333,"")</f>
        <v/>
      </c>
      <c r="J138" s="241" t="str">
        <f>IFERROR(VLOOKUP($I138,'Institution Evaluation'!$A$55:$F$345,2,0),IFERROR(VLOOKUP($I138,'Privacy Analyst Evaluation'!$A$46:$F$120,2,0),""))</f>
        <v/>
      </c>
      <c r="K138" s="241" t="str">
        <f>IFERROR(VLOOKUP($I138,'Institution Evaluation'!$A$55:$F$345,3,0),IFERROR(VLOOKUP($I138,'Privacy Analyst Evaluation'!$A$46:$F$120,3,0),""))&amp;""</f>
        <v/>
      </c>
      <c r="L138" s="241" t="str">
        <f>IFERROR(VLOOKUP($I138,'Institution Evaluation'!$A$55:$F$345,4,0),IFERROR(VLOOKUP($I138,'Privacy Analyst Evaluation'!$A$46:$F$120,4,0),""))&amp;""</f>
        <v/>
      </c>
      <c r="M138" s="241" t="str">
        <f>IFERROR(VLOOKUP($I138,'Institution Evaluation'!$A$55:$F$345,6,0),IFERROR(VLOOKUP($I138,'Privacy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ht="17" x14ac:dyDescent="0.2">
      <c r="A139" s="241" t="str">
        <f>IFERROR(IF($A138+1&gt;'(backend scoring)'!$T$335,"",$A138+1),"")</f>
        <v/>
      </c>
      <c r="B139" s="241" t="str">
        <f>_xlfn.XLOOKUP($A139,'(backend scoring)'!$V$2:$V$333,'(backend scoring)'!$A$2:$A$333,"")</f>
        <v/>
      </c>
      <c r="C139" s="241" t="str">
        <f>IFERROR(VLOOKUP($B139,'Institution Evaluation'!$A$55:$F$345,2,0),IFERROR(VLOOKUP($B139,'Privacy Analyst Evaluation'!$A$46:$F$120,2,0),""))&amp;""</f>
        <v/>
      </c>
      <c r="D139" s="241" t="str">
        <f>IFERROR(VLOOKUP($B139,'Institution Evaluation'!$A$55:$F$345,3,0),IFERROR(VLOOKUP($B139,'Privacy Analyst Evaluation'!$A$46:$F$120,3,0),""))&amp;""</f>
        <v/>
      </c>
      <c r="E139" s="241" t="str">
        <f>IFERROR(VLOOKUP($B139,'Institution Evaluation'!$A$55:$F$345,4,0),IFERROR(VLOOKUP($B139,'Privacy Analyst Evaluation'!$A$46:$F$120,4,0),""))&amp;""</f>
        <v/>
      </c>
      <c r="F139" s="241" t="str">
        <f>IFERROR(VLOOKUP($B139,'Institution Evaluation'!$A$55:$F$345,6,0),IFERROR(VLOOKUP($B139,'Privacy Analyst Evaluation'!$A$46:$F$120,6,0),""))&amp;""</f>
        <v/>
      </c>
      <c r="G139" s="242"/>
      <c r="H139" s="241" t="str">
        <f>IFERROR(IF($H138+1&gt;'(backend scoring)'!$Q$335,"",$H138+1),"")</f>
        <v/>
      </c>
      <c r="I139" s="241" t="str">
        <f>_xlfn.XLOOKUP($H139,'(backend scoring)'!$S$2:$S$333,'(backend scoring)'!$A$2:$A$333,"")</f>
        <v/>
      </c>
      <c r="J139" s="241" t="str">
        <f>IFERROR(VLOOKUP($I139,'Institution Evaluation'!$A$55:$F$345,2,0),IFERROR(VLOOKUP($I139,'Privacy Analyst Evaluation'!$A$46:$F$120,2,0),""))</f>
        <v/>
      </c>
      <c r="K139" s="241" t="str">
        <f>IFERROR(VLOOKUP($I139,'Institution Evaluation'!$A$55:$F$345,3,0),IFERROR(VLOOKUP($I139,'Privacy Analyst Evaluation'!$A$46:$F$120,3,0),""))&amp;""</f>
        <v/>
      </c>
      <c r="L139" s="241" t="str">
        <f>IFERROR(VLOOKUP($I139,'Institution Evaluation'!$A$55:$F$345,4,0),IFERROR(VLOOKUP($I139,'Privacy Analyst Evaluation'!$A$46:$F$120,4,0),""))&amp;""</f>
        <v/>
      </c>
      <c r="M139" s="241" t="str">
        <f>IFERROR(VLOOKUP($I139,'Institution Evaluation'!$A$55:$F$345,6,0),IFERROR(VLOOKUP($I139,'Privacy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ht="17" x14ac:dyDescent="0.2">
      <c r="A140" s="241" t="str">
        <f>IFERROR(IF($A139+1&gt;'(backend scoring)'!$T$335,"",$A139+1),"")</f>
        <v/>
      </c>
      <c r="B140" s="241" t="str">
        <f>_xlfn.XLOOKUP($A140,'(backend scoring)'!$V$2:$V$333,'(backend scoring)'!$A$2:$A$333,"")</f>
        <v/>
      </c>
      <c r="C140" s="241" t="str">
        <f>IFERROR(VLOOKUP($B140,'Institution Evaluation'!$A$55:$F$345,2,0),IFERROR(VLOOKUP($B140,'Privacy Analyst Evaluation'!$A$46:$F$120,2,0),""))&amp;""</f>
        <v/>
      </c>
      <c r="D140" s="241" t="str">
        <f>IFERROR(VLOOKUP($B140,'Institution Evaluation'!$A$55:$F$345,3,0),IFERROR(VLOOKUP($B140,'Privacy Analyst Evaluation'!$A$46:$F$120,3,0),""))&amp;""</f>
        <v/>
      </c>
      <c r="E140" s="241" t="str">
        <f>IFERROR(VLOOKUP($B140,'Institution Evaluation'!$A$55:$F$345,4,0),IFERROR(VLOOKUP($B140,'Privacy Analyst Evaluation'!$A$46:$F$120,4,0),""))&amp;""</f>
        <v/>
      </c>
      <c r="F140" s="241" t="str">
        <f>IFERROR(VLOOKUP($B140,'Institution Evaluation'!$A$55:$F$345,6,0),IFERROR(VLOOKUP($B140,'Privacy Analyst Evaluation'!$A$46:$F$120,6,0),""))&amp;""</f>
        <v/>
      </c>
      <c r="G140" s="242"/>
      <c r="H140" s="241" t="str">
        <f>IFERROR(IF($H139+1&gt;'(backend scoring)'!$Q$335,"",$H139+1),"")</f>
        <v/>
      </c>
      <c r="I140" s="241" t="str">
        <f>_xlfn.XLOOKUP($H140,'(backend scoring)'!$S$2:$S$333,'(backend scoring)'!$A$2:$A$333,"")</f>
        <v/>
      </c>
      <c r="J140" s="241" t="str">
        <f>IFERROR(VLOOKUP($I140,'Institution Evaluation'!$A$55:$F$345,2,0),IFERROR(VLOOKUP($I140,'Privacy Analyst Evaluation'!$A$46:$F$120,2,0),""))</f>
        <v/>
      </c>
      <c r="K140" s="241" t="str">
        <f>IFERROR(VLOOKUP($I140,'Institution Evaluation'!$A$55:$F$345,3,0),IFERROR(VLOOKUP($I140,'Privacy Analyst Evaluation'!$A$46:$F$120,3,0),""))&amp;""</f>
        <v/>
      </c>
      <c r="L140" s="241" t="str">
        <f>IFERROR(VLOOKUP($I140,'Institution Evaluation'!$A$55:$F$345,4,0),IFERROR(VLOOKUP($I140,'Privacy Analyst Evaluation'!$A$46:$F$120,4,0),""))&amp;""</f>
        <v/>
      </c>
      <c r="M140" s="241" t="str">
        <f>IFERROR(VLOOKUP($I140,'Institution Evaluation'!$A$55:$F$345,6,0),IFERROR(VLOOKUP($I140,'Privacy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ht="17" x14ac:dyDescent="0.2">
      <c r="A141" s="241" t="str">
        <f>IFERROR(IF($A140+1&gt;'(backend scoring)'!$T$335,"",$A140+1),"")</f>
        <v/>
      </c>
      <c r="B141" s="241" t="str">
        <f>_xlfn.XLOOKUP($A141,'(backend scoring)'!$V$2:$V$333,'(backend scoring)'!$A$2:$A$333,"")</f>
        <v/>
      </c>
      <c r="C141" s="241" t="str">
        <f>IFERROR(VLOOKUP($B141,'Institution Evaluation'!$A$55:$F$345,2,0),IFERROR(VLOOKUP($B141,'Privacy Analyst Evaluation'!$A$46:$F$120,2,0),""))&amp;""</f>
        <v/>
      </c>
      <c r="D141" s="241" t="str">
        <f>IFERROR(VLOOKUP($B141,'Institution Evaluation'!$A$55:$F$345,3,0),IFERROR(VLOOKUP($B141,'Privacy Analyst Evaluation'!$A$46:$F$120,3,0),""))&amp;""</f>
        <v/>
      </c>
      <c r="E141" s="241" t="str">
        <f>IFERROR(VLOOKUP($B141,'Institution Evaluation'!$A$55:$F$345,4,0),IFERROR(VLOOKUP($B141,'Privacy Analyst Evaluation'!$A$46:$F$120,4,0),""))&amp;""</f>
        <v/>
      </c>
      <c r="F141" s="241" t="str">
        <f>IFERROR(VLOOKUP($B141,'Institution Evaluation'!$A$55:$F$345,6,0),IFERROR(VLOOKUP($B141,'Privacy Analyst Evaluation'!$A$46:$F$120,6,0),""))&amp;""</f>
        <v/>
      </c>
      <c r="G141" s="242"/>
      <c r="H141" s="241" t="str">
        <f>IFERROR(IF($H140+1&gt;'(backend scoring)'!$Q$335,"",$H140+1),"")</f>
        <v/>
      </c>
      <c r="I141" s="241" t="str">
        <f>_xlfn.XLOOKUP($H141,'(backend scoring)'!$S$2:$S$333,'(backend scoring)'!$A$2:$A$333,"")</f>
        <v/>
      </c>
      <c r="J141" s="241" t="str">
        <f>IFERROR(VLOOKUP($I141,'Institution Evaluation'!$A$55:$F$345,2,0),IFERROR(VLOOKUP($I141,'Privacy Analyst Evaluation'!$A$46:$F$120,2,0),""))</f>
        <v/>
      </c>
      <c r="K141" s="241" t="str">
        <f>IFERROR(VLOOKUP($I141,'Institution Evaluation'!$A$55:$F$345,3,0),IFERROR(VLOOKUP($I141,'Privacy Analyst Evaluation'!$A$46:$F$120,3,0),""))&amp;""</f>
        <v/>
      </c>
      <c r="L141" s="241" t="str">
        <f>IFERROR(VLOOKUP($I141,'Institution Evaluation'!$A$55:$F$345,4,0),IFERROR(VLOOKUP($I141,'Privacy Analyst Evaluation'!$A$46:$F$120,4,0),""))&amp;""</f>
        <v/>
      </c>
      <c r="M141" s="241" t="str">
        <f>IFERROR(VLOOKUP($I141,'Institution Evaluation'!$A$55:$F$345,6,0),IFERROR(VLOOKUP($I141,'Privacy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ht="17" x14ac:dyDescent="0.2">
      <c r="A142" s="241" t="str">
        <f>IFERROR(IF($A141+1&gt;'(backend scoring)'!$T$335,"",$A141+1),"")</f>
        <v/>
      </c>
      <c r="B142" s="241" t="str">
        <f>_xlfn.XLOOKUP($A142,'(backend scoring)'!$V$2:$V$333,'(backend scoring)'!$A$2:$A$333,"")</f>
        <v/>
      </c>
      <c r="C142" s="241" t="str">
        <f>IFERROR(VLOOKUP($B142,'Institution Evaluation'!$A$55:$F$345,2,0),IFERROR(VLOOKUP($B142,'Privacy Analyst Evaluation'!$A$46:$F$120,2,0),""))&amp;""</f>
        <v/>
      </c>
      <c r="D142" s="241" t="str">
        <f>IFERROR(VLOOKUP($B142,'Institution Evaluation'!$A$55:$F$345,3,0),IFERROR(VLOOKUP($B142,'Privacy Analyst Evaluation'!$A$46:$F$120,3,0),""))&amp;""</f>
        <v/>
      </c>
      <c r="E142" s="241" t="str">
        <f>IFERROR(VLOOKUP($B142,'Institution Evaluation'!$A$55:$F$345,4,0),IFERROR(VLOOKUP($B142,'Privacy Analyst Evaluation'!$A$46:$F$120,4,0),""))&amp;""</f>
        <v/>
      </c>
      <c r="F142" s="241" t="str">
        <f>IFERROR(VLOOKUP($B142,'Institution Evaluation'!$A$55:$F$345,6,0),IFERROR(VLOOKUP($B142,'Privacy Analyst Evaluation'!$A$46:$F$120,6,0),""))&amp;""</f>
        <v/>
      </c>
      <c r="G142" s="242"/>
      <c r="H142" s="241" t="str">
        <f>IFERROR(IF($H141+1&gt;'(backend scoring)'!$Q$335,"",$H141+1),"")</f>
        <v/>
      </c>
      <c r="I142" s="241" t="str">
        <f>_xlfn.XLOOKUP($H142,'(backend scoring)'!$S$2:$S$333,'(backend scoring)'!$A$2:$A$333,"")</f>
        <v/>
      </c>
      <c r="J142" s="241" t="str">
        <f>IFERROR(VLOOKUP($I142,'Institution Evaluation'!$A$55:$F$345,2,0),IFERROR(VLOOKUP($I142,'Privacy Analyst Evaluation'!$A$46:$F$120,2,0),""))</f>
        <v/>
      </c>
      <c r="K142" s="241" t="str">
        <f>IFERROR(VLOOKUP($I142,'Institution Evaluation'!$A$55:$F$345,3,0),IFERROR(VLOOKUP($I142,'Privacy Analyst Evaluation'!$A$46:$F$120,3,0),""))&amp;""</f>
        <v/>
      </c>
      <c r="L142" s="241" t="str">
        <f>IFERROR(VLOOKUP($I142,'Institution Evaluation'!$A$55:$F$345,4,0),IFERROR(VLOOKUP($I142,'Privacy Analyst Evaluation'!$A$46:$F$120,4,0),""))&amp;""</f>
        <v/>
      </c>
      <c r="M142" s="241" t="str">
        <f>IFERROR(VLOOKUP($I142,'Institution Evaluation'!$A$55:$F$345,6,0),IFERROR(VLOOKUP($I142,'Privacy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ht="17" x14ac:dyDescent="0.2">
      <c r="A143" s="241" t="str">
        <f>IFERROR(IF($A142+1&gt;'(backend scoring)'!$T$335,"",$A142+1),"")</f>
        <v/>
      </c>
      <c r="B143" s="241" t="str">
        <f>_xlfn.XLOOKUP($A143,'(backend scoring)'!$V$2:$V$333,'(backend scoring)'!$A$2:$A$333,"")</f>
        <v/>
      </c>
      <c r="C143" s="241" t="str">
        <f>IFERROR(VLOOKUP($B143,'Institution Evaluation'!$A$55:$F$345,2,0),IFERROR(VLOOKUP($B143,'Privacy Analyst Evaluation'!$A$46:$F$120,2,0),""))&amp;""</f>
        <v/>
      </c>
      <c r="D143" s="241" t="str">
        <f>IFERROR(VLOOKUP($B143,'Institution Evaluation'!$A$55:$F$345,3,0),IFERROR(VLOOKUP($B143,'Privacy Analyst Evaluation'!$A$46:$F$120,3,0),""))&amp;""</f>
        <v/>
      </c>
      <c r="E143" s="241" t="str">
        <f>IFERROR(VLOOKUP($B143,'Institution Evaluation'!$A$55:$F$345,4,0),IFERROR(VLOOKUP($B143,'Privacy Analyst Evaluation'!$A$46:$F$120,4,0),""))&amp;""</f>
        <v/>
      </c>
      <c r="F143" s="241" t="str">
        <f>IFERROR(VLOOKUP($B143,'Institution Evaluation'!$A$55:$F$345,6,0),IFERROR(VLOOKUP($B143,'Privacy Analyst Evaluation'!$A$46:$F$120,6,0),""))&amp;""</f>
        <v/>
      </c>
      <c r="G143" s="242"/>
      <c r="H143" s="241" t="str">
        <f>IFERROR(IF($H142+1&gt;'(backend scoring)'!$Q$335,"",$H142+1),"")</f>
        <v/>
      </c>
      <c r="I143" s="241" t="str">
        <f>_xlfn.XLOOKUP($H143,'(backend scoring)'!$S$2:$S$333,'(backend scoring)'!$A$2:$A$333,"")</f>
        <v/>
      </c>
      <c r="J143" s="241" t="str">
        <f>IFERROR(VLOOKUP($I143,'Institution Evaluation'!$A$55:$F$345,2,0),IFERROR(VLOOKUP($I143,'Privacy Analyst Evaluation'!$A$46:$F$120,2,0),""))</f>
        <v/>
      </c>
      <c r="K143" s="241" t="str">
        <f>IFERROR(VLOOKUP($I143,'Institution Evaluation'!$A$55:$F$345,3,0),IFERROR(VLOOKUP($I143,'Privacy Analyst Evaluation'!$A$46:$F$120,3,0),""))&amp;""</f>
        <v/>
      </c>
      <c r="L143" s="241" t="str">
        <f>IFERROR(VLOOKUP($I143,'Institution Evaluation'!$A$55:$F$345,4,0),IFERROR(VLOOKUP($I143,'Privacy Analyst Evaluation'!$A$46:$F$120,4,0),""))&amp;""</f>
        <v/>
      </c>
      <c r="M143" s="241" t="str">
        <f>IFERROR(VLOOKUP($I143,'Institution Evaluation'!$A$55:$F$345,6,0),IFERROR(VLOOKUP($I143,'Privacy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ht="17" x14ac:dyDescent="0.2">
      <c r="A144" s="241" t="str">
        <f>IFERROR(IF($A143+1&gt;'(backend scoring)'!$T$335,"",$A143+1),"")</f>
        <v/>
      </c>
      <c r="B144" s="241" t="str">
        <f>_xlfn.XLOOKUP($A144,'(backend scoring)'!$V$2:$V$333,'(backend scoring)'!$A$2:$A$333,"")</f>
        <v/>
      </c>
      <c r="C144" s="241" t="str">
        <f>IFERROR(VLOOKUP($B144,'Institution Evaluation'!$A$55:$F$345,2,0),IFERROR(VLOOKUP($B144,'Privacy Analyst Evaluation'!$A$46:$F$120,2,0),""))&amp;""</f>
        <v/>
      </c>
      <c r="D144" s="241" t="str">
        <f>IFERROR(VLOOKUP($B144,'Institution Evaluation'!$A$55:$F$345,3,0),IFERROR(VLOOKUP($B144,'Privacy Analyst Evaluation'!$A$46:$F$120,3,0),""))&amp;""</f>
        <v/>
      </c>
      <c r="E144" s="241" t="str">
        <f>IFERROR(VLOOKUP($B144,'Institution Evaluation'!$A$55:$F$345,4,0),IFERROR(VLOOKUP($B144,'Privacy Analyst Evaluation'!$A$46:$F$120,4,0),""))&amp;""</f>
        <v/>
      </c>
      <c r="F144" s="241" t="str">
        <f>IFERROR(VLOOKUP($B144,'Institution Evaluation'!$A$55:$F$345,6,0),IFERROR(VLOOKUP($B144,'Privacy Analyst Evaluation'!$A$46:$F$120,6,0),""))&amp;""</f>
        <v/>
      </c>
      <c r="G144" s="242"/>
      <c r="H144" s="241" t="str">
        <f>IFERROR(IF($H143+1&gt;'(backend scoring)'!$Q$335,"",$H143+1),"")</f>
        <v/>
      </c>
      <c r="I144" s="241" t="str">
        <f>_xlfn.XLOOKUP($H144,'(backend scoring)'!$S$2:$S$333,'(backend scoring)'!$A$2:$A$333,"")</f>
        <v/>
      </c>
      <c r="J144" s="241" t="str">
        <f>IFERROR(VLOOKUP($I144,'Institution Evaluation'!$A$55:$F$345,2,0),IFERROR(VLOOKUP($I144,'Privacy Analyst Evaluation'!$A$46:$F$120,2,0),""))</f>
        <v/>
      </c>
      <c r="K144" s="241" t="str">
        <f>IFERROR(VLOOKUP($I144,'Institution Evaluation'!$A$55:$F$345,3,0),IFERROR(VLOOKUP($I144,'Privacy Analyst Evaluation'!$A$46:$F$120,3,0),""))&amp;""</f>
        <v/>
      </c>
      <c r="L144" s="241" t="str">
        <f>IFERROR(VLOOKUP($I144,'Institution Evaluation'!$A$55:$F$345,4,0),IFERROR(VLOOKUP($I144,'Privacy Analyst Evaluation'!$A$46:$F$120,4,0),""))&amp;""</f>
        <v/>
      </c>
      <c r="M144" s="241" t="str">
        <f>IFERROR(VLOOKUP($I144,'Institution Evaluation'!$A$55:$F$345,6,0),IFERROR(VLOOKUP($I144,'Privacy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ht="17" x14ac:dyDescent="0.2">
      <c r="A145" s="241" t="str">
        <f>IFERROR(IF($A144+1&gt;'(backend scoring)'!$T$335,"",$A144+1),"")</f>
        <v/>
      </c>
      <c r="B145" s="241" t="str">
        <f>_xlfn.XLOOKUP($A145,'(backend scoring)'!$V$2:$V$333,'(backend scoring)'!$A$2:$A$333,"")</f>
        <v/>
      </c>
      <c r="C145" s="241" t="str">
        <f>IFERROR(VLOOKUP($B145,'Institution Evaluation'!$A$55:$F$345,2,0),IFERROR(VLOOKUP($B145,'Privacy Analyst Evaluation'!$A$46:$F$120,2,0),""))&amp;""</f>
        <v/>
      </c>
      <c r="D145" s="241" t="str">
        <f>IFERROR(VLOOKUP($B145,'Institution Evaluation'!$A$55:$F$345,3,0),IFERROR(VLOOKUP($B145,'Privacy Analyst Evaluation'!$A$46:$F$120,3,0),""))&amp;""</f>
        <v/>
      </c>
      <c r="E145" s="241" t="str">
        <f>IFERROR(VLOOKUP($B145,'Institution Evaluation'!$A$55:$F$345,4,0),IFERROR(VLOOKUP($B145,'Privacy Analyst Evaluation'!$A$46:$F$120,4,0),""))&amp;""</f>
        <v/>
      </c>
      <c r="F145" s="241" t="str">
        <f>IFERROR(VLOOKUP($B145,'Institution Evaluation'!$A$55:$F$345,6,0),IFERROR(VLOOKUP($B145,'Privacy Analyst Evaluation'!$A$46:$F$120,6,0),""))&amp;""</f>
        <v/>
      </c>
      <c r="G145" s="242"/>
      <c r="H145" s="241" t="str">
        <f>IFERROR(IF($H144+1&gt;'(backend scoring)'!$Q$335,"",$H144+1),"")</f>
        <v/>
      </c>
      <c r="I145" s="241" t="str">
        <f>_xlfn.XLOOKUP($H145,'(backend scoring)'!$S$2:$S$333,'(backend scoring)'!$A$2:$A$333,"")</f>
        <v/>
      </c>
      <c r="J145" s="241" t="str">
        <f>IFERROR(VLOOKUP($I145,'Institution Evaluation'!$A$55:$F$345,2,0),IFERROR(VLOOKUP($I145,'Privacy Analyst Evaluation'!$A$46:$F$120,2,0),""))</f>
        <v/>
      </c>
      <c r="K145" s="241" t="str">
        <f>IFERROR(VLOOKUP($I145,'Institution Evaluation'!$A$55:$F$345,3,0),IFERROR(VLOOKUP($I145,'Privacy Analyst Evaluation'!$A$46:$F$120,3,0),""))&amp;""</f>
        <v/>
      </c>
      <c r="L145" s="241" t="str">
        <f>IFERROR(VLOOKUP($I145,'Institution Evaluation'!$A$55:$F$345,4,0),IFERROR(VLOOKUP($I145,'Privacy Analyst Evaluation'!$A$46:$F$120,4,0),""))&amp;""</f>
        <v/>
      </c>
      <c r="M145" s="241" t="str">
        <f>IFERROR(VLOOKUP($I145,'Institution Evaluation'!$A$55:$F$345,6,0),IFERROR(VLOOKUP($I145,'Privacy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ht="17" x14ac:dyDescent="0.2">
      <c r="A146" s="241" t="str">
        <f>IFERROR(IF($A145+1&gt;'(backend scoring)'!$T$335,"",$A145+1),"")</f>
        <v/>
      </c>
      <c r="B146" s="241" t="str">
        <f>_xlfn.XLOOKUP($A146,'(backend scoring)'!$V$2:$V$333,'(backend scoring)'!$A$2:$A$333,"")</f>
        <v/>
      </c>
      <c r="C146" s="241" t="str">
        <f>IFERROR(VLOOKUP($B146,'Institution Evaluation'!$A$55:$F$345,2,0),IFERROR(VLOOKUP($B146,'Privacy Analyst Evaluation'!$A$46:$F$120,2,0),""))&amp;""</f>
        <v/>
      </c>
      <c r="D146" s="241" t="str">
        <f>IFERROR(VLOOKUP($B146,'Institution Evaluation'!$A$55:$F$345,3,0),IFERROR(VLOOKUP($B146,'Privacy Analyst Evaluation'!$A$46:$F$120,3,0),""))&amp;""</f>
        <v/>
      </c>
      <c r="E146" s="241" t="str">
        <f>IFERROR(VLOOKUP($B146,'Institution Evaluation'!$A$55:$F$345,4,0),IFERROR(VLOOKUP($B146,'Privacy Analyst Evaluation'!$A$46:$F$120,4,0),""))&amp;""</f>
        <v/>
      </c>
      <c r="F146" s="241" t="str">
        <f>IFERROR(VLOOKUP($B146,'Institution Evaluation'!$A$55:$F$345,6,0),IFERROR(VLOOKUP($B146,'Privacy Analyst Evaluation'!$A$46:$F$120,6,0),""))&amp;""</f>
        <v/>
      </c>
      <c r="G146" s="242"/>
      <c r="H146" s="241" t="str">
        <f>IFERROR(IF($H145+1&gt;'(backend scoring)'!$Q$335,"",$H145+1),"")</f>
        <v/>
      </c>
      <c r="I146" s="241" t="str">
        <f>_xlfn.XLOOKUP($H146,'(backend scoring)'!$S$2:$S$333,'(backend scoring)'!$A$2:$A$333,"")</f>
        <v/>
      </c>
      <c r="J146" s="241" t="str">
        <f>IFERROR(VLOOKUP($I146,'Institution Evaluation'!$A$55:$F$345,2,0),IFERROR(VLOOKUP($I146,'Privacy Analyst Evaluation'!$A$46:$F$120,2,0),""))</f>
        <v/>
      </c>
      <c r="K146" s="241" t="str">
        <f>IFERROR(VLOOKUP($I146,'Institution Evaluation'!$A$55:$F$345,3,0),IFERROR(VLOOKUP($I146,'Privacy Analyst Evaluation'!$A$46:$F$120,3,0),""))&amp;""</f>
        <v/>
      </c>
      <c r="L146" s="241" t="str">
        <f>IFERROR(VLOOKUP($I146,'Institution Evaluation'!$A$55:$F$345,4,0),IFERROR(VLOOKUP($I146,'Privacy Analyst Evaluation'!$A$46:$F$120,4,0),""))&amp;""</f>
        <v/>
      </c>
      <c r="M146" s="241" t="str">
        <f>IFERROR(VLOOKUP($I146,'Institution Evaluation'!$A$55:$F$345,6,0),IFERROR(VLOOKUP($I146,'Privacy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ht="17" x14ac:dyDescent="0.2">
      <c r="A147" s="241" t="str">
        <f>IFERROR(IF($A146+1&gt;'(backend scoring)'!$T$335,"",$A146+1),"")</f>
        <v/>
      </c>
      <c r="B147" s="241" t="str">
        <f>_xlfn.XLOOKUP($A147,'(backend scoring)'!$V$2:$V$333,'(backend scoring)'!$A$2:$A$333,"")</f>
        <v/>
      </c>
      <c r="C147" s="241" t="str">
        <f>IFERROR(VLOOKUP($B147,'Institution Evaluation'!$A$55:$F$345,2,0),IFERROR(VLOOKUP($B147,'Privacy Analyst Evaluation'!$A$46:$F$120,2,0),""))&amp;""</f>
        <v/>
      </c>
      <c r="D147" s="241" t="str">
        <f>IFERROR(VLOOKUP($B147,'Institution Evaluation'!$A$55:$F$345,3,0),IFERROR(VLOOKUP($B147,'Privacy Analyst Evaluation'!$A$46:$F$120,3,0),""))&amp;""</f>
        <v/>
      </c>
      <c r="E147" s="241" t="str">
        <f>IFERROR(VLOOKUP($B147,'Institution Evaluation'!$A$55:$F$345,4,0),IFERROR(VLOOKUP($B147,'Privacy Analyst Evaluation'!$A$46:$F$120,4,0),""))&amp;""</f>
        <v/>
      </c>
      <c r="F147" s="241" t="str">
        <f>IFERROR(VLOOKUP($B147,'Institution Evaluation'!$A$55:$F$345,6,0),IFERROR(VLOOKUP($B147,'Privacy Analyst Evaluation'!$A$46:$F$120,6,0),""))&amp;""</f>
        <v/>
      </c>
      <c r="G147" s="242"/>
      <c r="H147" s="241" t="str">
        <f>IFERROR(IF($H146+1&gt;'(backend scoring)'!$Q$335,"",$H146+1),"")</f>
        <v/>
      </c>
      <c r="I147" s="241" t="str">
        <f>_xlfn.XLOOKUP($H147,'(backend scoring)'!$S$2:$S$333,'(backend scoring)'!$A$2:$A$333,"")</f>
        <v/>
      </c>
      <c r="J147" s="241" t="str">
        <f>IFERROR(VLOOKUP($I147,'Institution Evaluation'!$A$55:$F$345,2,0),IFERROR(VLOOKUP($I147,'Privacy Analyst Evaluation'!$A$46:$F$120,2,0),""))</f>
        <v/>
      </c>
      <c r="K147" s="241" t="str">
        <f>IFERROR(VLOOKUP($I147,'Institution Evaluation'!$A$55:$F$345,3,0),IFERROR(VLOOKUP($I147,'Privacy Analyst Evaluation'!$A$46:$F$120,3,0),""))&amp;""</f>
        <v/>
      </c>
      <c r="L147" s="241" t="str">
        <f>IFERROR(VLOOKUP($I147,'Institution Evaluation'!$A$55:$F$345,4,0),IFERROR(VLOOKUP($I147,'Privacy Analyst Evaluation'!$A$46:$F$120,4,0),""))&amp;""</f>
        <v/>
      </c>
      <c r="M147" s="241" t="str">
        <f>IFERROR(VLOOKUP($I147,'Institution Evaluation'!$A$55:$F$345,6,0),IFERROR(VLOOKUP($I147,'Privacy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ht="17" x14ac:dyDescent="0.2">
      <c r="A148" s="241" t="str">
        <f>IFERROR(IF($A147+1&gt;'(backend scoring)'!$T$335,"",$A147+1),"")</f>
        <v/>
      </c>
      <c r="B148" s="241" t="str">
        <f>_xlfn.XLOOKUP($A148,'(backend scoring)'!$V$2:$V$333,'(backend scoring)'!$A$2:$A$333,"")</f>
        <v/>
      </c>
      <c r="C148" s="241" t="str">
        <f>IFERROR(VLOOKUP($B148,'Institution Evaluation'!$A$55:$F$345,2,0),IFERROR(VLOOKUP($B148,'Privacy Analyst Evaluation'!$A$46:$F$120,2,0),""))&amp;""</f>
        <v/>
      </c>
      <c r="D148" s="241" t="str">
        <f>IFERROR(VLOOKUP($B148,'Institution Evaluation'!$A$55:$F$345,3,0),IFERROR(VLOOKUP($B148,'Privacy Analyst Evaluation'!$A$46:$F$120,3,0),""))&amp;""</f>
        <v/>
      </c>
      <c r="E148" s="241" t="str">
        <f>IFERROR(VLOOKUP($B148,'Institution Evaluation'!$A$55:$F$345,4,0),IFERROR(VLOOKUP($B148,'Privacy Analyst Evaluation'!$A$46:$F$120,4,0),""))&amp;""</f>
        <v/>
      </c>
      <c r="F148" s="241" t="str">
        <f>IFERROR(VLOOKUP($B148,'Institution Evaluation'!$A$55:$F$345,6,0),IFERROR(VLOOKUP($B148,'Privacy Analyst Evaluation'!$A$46:$F$120,6,0),""))&amp;""</f>
        <v/>
      </c>
      <c r="G148" s="242"/>
      <c r="H148" s="241" t="str">
        <f>IFERROR(IF($H147+1&gt;'(backend scoring)'!$Q$335,"",$H147+1),"")</f>
        <v/>
      </c>
      <c r="I148" s="241" t="str">
        <f>_xlfn.XLOOKUP($H148,'(backend scoring)'!$S$2:$S$333,'(backend scoring)'!$A$2:$A$333,"")</f>
        <v/>
      </c>
      <c r="J148" s="241" t="str">
        <f>IFERROR(VLOOKUP($I148,'Institution Evaluation'!$A$55:$F$345,2,0),IFERROR(VLOOKUP($I148,'Privacy Analyst Evaluation'!$A$46:$F$120,2,0),""))</f>
        <v/>
      </c>
      <c r="K148" s="241" t="str">
        <f>IFERROR(VLOOKUP($I148,'Institution Evaluation'!$A$55:$F$345,3,0),IFERROR(VLOOKUP($I148,'Privacy Analyst Evaluation'!$A$46:$F$120,3,0),""))&amp;""</f>
        <v/>
      </c>
      <c r="L148" s="241" t="str">
        <f>IFERROR(VLOOKUP($I148,'Institution Evaluation'!$A$55:$F$345,4,0),IFERROR(VLOOKUP($I148,'Privacy Analyst Evaluation'!$A$46:$F$120,4,0),""))&amp;""</f>
        <v/>
      </c>
      <c r="M148" s="241" t="str">
        <f>IFERROR(VLOOKUP($I148,'Institution Evaluation'!$A$55:$F$345,6,0),IFERROR(VLOOKUP($I148,'Privacy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ht="17" x14ac:dyDescent="0.2">
      <c r="A149" s="241" t="str">
        <f>IFERROR(IF($A148+1&gt;'(backend scoring)'!$T$335,"",$A148+1),"")</f>
        <v/>
      </c>
      <c r="B149" s="241" t="str">
        <f>_xlfn.XLOOKUP($A149,'(backend scoring)'!$V$2:$V$333,'(backend scoring)'!$A$2:$A$333,"")</f>
        <v/>
      </c>
      <c r="C149" s="241" t="str">
        <f>IFERROR(VLOOKUP($B149,'Institution Evaluation'!$A$55:$F$345,2,0),IFERROR(VLOOKUP($B149,'Privacy Analyst Evaluation'!$A$46:$F$120,2,0),""))&amp;""</f>
        <v/>
      </c>
      <c r="D149" s="241" t="str">
        <f>IFERROR(VLOOKUP($B149,'Institution Evaluation'!$A$55:$F$345,3,0),IFERROR(VLOOKUP($B149,'Privacy Analyst Evaluation'!$A$46:$F$120,3,0),""))&amp;""</f>
        <v/>
      </c>
      <c r="E149" s="241" t="str">
        <f>IFERROR(VLOOKUP($B149,'Institution Evaluation'!$A$55:$F$345,4,0),IFERROR(VLOOKUP($B149,'Privacy Analyst Evaluation'!$A$46:$F$120,4,0),""))&amp;""</f>
        <v/>
      </c>
      <c r="F149" s="241" t="str">
        <f>IFERROR(VLOOKUP($B149,'Institution Evaluation'!$A$55:$F$345,6,0),IFERROR(VLOOKUP($B149,'Privacy Analyst Evaluation'!$A$46:$F$120,6,0),""))&amp;""</f>
        <v/>
      </c>
      <c r="G149" s="242"/>
      <c r="H149" s="241" t="str">
        <f>IFERROR(IF($H148+1&gt;'(backend scoring)'!$Q$335,"",$H148+1),"")</f>
        <v/>
      </c>
      <c r="I149" s="241" t="str">
        <f>_xlfn.XLOOKUP($H149,'(backend scoring)'!$S$2:$S$333,'(backend scoring)'!$A$2:$A$333,"")</f>
        <v/>
      </c>
      <c r="J149" s="241" t="str">
        <f>IFERROR(VLOOKUP($I149,'Institution Evaluation'!$A$55:$F$345,2,0),IFERROR(VLOOKUP($I149,'Privacy Analyst Evaluation'!$A$46:$F$120,2,0),""))</f>
        <v/>
      </c>
      <c r="K149" s="241" t="str">
        <f>IFERROR(VLOOKUP($I149,'Institution Evaluation'!$A$55:$F$345,3,0),IFERROR(VLOOKUP($I149,'Privacy Analyst Evaluation'!$A$46:$F$120,3,0),""))&amp;""</f>
        <v/>
      </c>
      <c r="L149" s="241" t="str">
        <f>IFERROR(VLOOKUP($I149,'Institution Evaluation'!$A$55:$F$345,4,0),IFERROR(VLOOKUP($I149,'Privacy Analyst Evaluation'!$A$46:$F$120,4,0),""))&amp;""</f>
        <v/>
      </c>
      <c r="M149" s="241" t="str">
        <f>IFERROR(VLOOKUP($I149,'Institution Evaluation'!$A$55:$F$345,6,0),IFERROR(VLOOKUP($I149,'Privacy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ht="17" x14ac:dyDescent="0.2">
      <c r="A150" s="241" t="str">
        <f>IFERROR(IF($A149+1&gt;'(backend scoring)'!$T$335,"",$A149+1),"")</f>
        <v/>
      </c>
      <c r="B150" s="241" t="str">
        <f>_xlfn.XLOOKUP($A150,'(backend scoring)'!$V$2:$V$333,'(backend scoring)'!$A$2:$A$333,"")</f>
        <v/>
      </c>
      <c r="C150" s="241" t="str">
        <f>IFERROR(VLOOKUP($B150,'Institution Evaluation'!$A$55:$F$345,2,0),IFERROR(VLOOKUP($B150,'Privacy Analyst Evaluation'!$A$46:$F$120,2,0),""))&amp;""</f>
        <v/>
      </c>
      <c r="D150" s="241" t="str">
        <f>IFERROR(VLOOKUP($B150,'Institution Evaluation'!$A$55:$F$345,3,0),IFERROR(VLOOKUP($B150,'Privacy Analyst Evaluation'!$A$46:$F$120,3,0),""))&amp;""</f>
        <v/>
      </c>
      <c r="E150" s="241" t="str">
        <f>IFERROR(VLOOKUP($B150,'Institution Evaluation'!$A$55:$F$345,4,0),IFERROR(VLOOKUP($B150,'Privacy Analyst Evaluation'!$A$46:$F$120,4,0),""))&amp;""</f>
        <v/>
      </c>
      <c r="F150" s="241" t="str">
        <f>IFERROR(VLOOKUP($B150,'Institution Evaluation'!$A$55:$F$345,6,0),IFERROR(VLOOKUP($B150,'Privacy Analyst Evaluation'!$A$46:$F$120,6,0),""))&amp;""</f>
        <v/>
      </c>
      <c r="G150" s="242"/>
      <c r="H150" s="241" t="str">
        <f>IFERROR(IF($H149+1&gt;'(backend scoring)'!$Q$335,"",$H149+1),"")</f>
        <v/>
      </c>
      <c r="I150" s="241" t="str">
        <f>_xlfn.XLOOKUP($H150,'(backend scoring)'!$S$2:$S$333,'(backend scoring)'!$A$2:$A$333,"")</f>
        <v/>
      </c>
      <c r="J150" s="241" t="str">
        <f>IFERROR(VLOOKUP($I150,'Institution Evaluation'!$A$55:$F$345,2,0),IFERROR(VLOOKUP($I150,'Privacy Analyst Evaluation'!$A$46:$F$120,2,0),""))</f>
        <v/>
      </c>
      <c r="K150" s="241" t="str">
        <f>IFERROR(VLOOKUP($I150,'Institution Evaluation'!$A$55:$F$345,3,0),IFERROR(VLOOKUP($I150,'Privacy Analyst Evaluation'!$A$46:$F$120,3,0),""))&amp;""</f>
        <v/>
      </c>
      <c r="L150" s="241" t="str">
        <f>IFERROR(VLOOKUP($I150,'Institution Evaluation'!$A$55:$F$345,4,0),IFERROR(VLOOKUP($I150,'Privacy Analyst Evaluation'!$A$46:$F$120,4,0),""))&amp;""</f>
        <v/>
      </c>
      <c r="M150" s="241" t="str">
        <f>IFERROR(VLOOKUP($I150,'Institution Evaluation'!$A$55:$F$345,6,0),IFERROR(VLOOKUP($I150,'Privacy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ht="17" x14ac:dyDescent="0.2">
      <c r="A151" s="241" t="str">
        <f>IFERROR(IF($A150+1&gt;'(backend scoring)'!$T$335,"",$A150+1),"")</f>
        <v/>
      </c>
      <c r="B151" s="241" t="str">
        <f>_xlfn.XLOOKUP($A151,'(backend scoring)'!$V$2:$V$333,'(backend scoring)'!$A$2:$A$333,"")</f>
        <v/>
      </c>
      <c r="C151" s="241" t="str">
        <f>IFERROR(VLOOKUP($B151,'Institution Evaluation'!$A$55:$F$345,2,0),IFERROR(VLOOKUP($B151,'Privacy Analyst Evaluation'!$A$46:$F$120,2,0),""))&amp;""</f>
        <v/>
      </c>
      <c r="D151" s="241" t="str">
        <f>IFERROR(VLOOKUP($B151,'Institution Evaluation'!$A$55:$F$345,3,0),IFERROR(VLOOKUP($B151,'Privacy Analyst Evaluation'!$A$46:$F$120,3,0),""))&amp;""</f>
        <v/>
      </c>
      <c r="E151" s="241" t="str">
        <f>IFERROR(VLOOKUP($B151,'Institution Evaluation'!$A$55:$F$345,4,0),IFERROR(VLOOKUP($B151,'Privacy Analyst Evaluation'!$A$46:$F$120,4,0),""))&amp;""</f>
        <v/>
      </c>
      <c r="F151" s="241" t="str">
        <f>IFERROR(VLOOKUP($B151,'Institution Evaluation'!$A$55:$F$345,6,0),IFERROR(VLOOKUP($B151,'Privacy Analyst Evaluation'!$A$46:$F$120,6,0),""))&amp;""</f>
        <v/>
      </c>
      <c r="G151" s="242"/>
      <c r="H151" s="241" t="str">
        <f>IFERROR(IF($H150+1&gt;'(backend scoring)'!$Q$335,"",$H150+1),"")</f>
        <v/>
      </c>
      <c r="I151" s="241" t="str">
        <f>_xlfn.XLOOKUP($H151,'(backend scoring)'!$S$2:$S$333,'(backend scoring)'!$A$2:$A$333,"")</f>
        <v/>
      </c>
      <c r="J151" s="241" t="str">
        <f>IFERROR(VLOOKUP($I151,'Institution Evaluation'!$A$55:$F$345,2,0),IFERROR(VLOOKUP($I151,'Privacy Analyst Evaluation'!$A$46:$F$120,2,0),""))</f>
        <v/>
      </c>
      <c r="K151" s="241" t="str">
        <f>IFERROR(VLOOKUP($I151,'Institution Evaluation'!$A$55:$F$345,3,0),IFERROR(VLOOKUP($I151,'Privacy Analyst Evaluation'!$A$46:$F$120,3,0),""))&amp;""</f>
        <v/>
      </c>
      <c r="L151" s="241" t="str">
        <f>IFERROR(VLOOKUP($I151,'Institution Evaluation'!$A$55:$F$345,4,0),IFERROR(VLOOKUP($I151,'Privacy Analyst Evaluation'!$A$46:$F$120,4,0),""))&amp;""</f>
        <v/>
      </c>
      <c r="M151" s="241" t="str">
        <f>IFERROR(VLOOKUP($I151,'Institution Evaluation'!$A$55:$F$345,6,0),IFERROR(VLOOKUP($I151,'Privacy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ht="17" x14ac:dyDescent="0.2">
      <c r="A152" s="241" t="str">
        <f>IFERROR(IF($A151+1&gt;'(backend scoring)'!$T$335,"",$A151+1),"")</f>
        <v/>
      </c>
      <c r="B152" s="241" t="str">
        <f>_xlfn.XLOOKUP($A152,'(backend scoring)'!$V$2:$V$333,'(backend scoring)'!$A$2:$A$333,"")</f>
        <v/>
      </c>
      <c r="C152" s="241" t="str">
        <f>IFERROR(VLOOKUP($B152,'Institution Evaluation'!$A$55:$F$345,2,0),IFERROR(VLOOKUP($B152,'Privacy Analyst Evaluation'!$A$46:$F$120,2,0),""))&amp;""</f>
        <v/>
      </c>
      <c r="D152" s="241" t="str">
        <f>IFERROR(VLOOKUP($B152,'Institution Evaluation'!$A$55:$F$345,3,0),IFERROR(VLOOKUP($B152,'Privacy Analyst Evaluation'!$A$46:$F$120,3,0),""))&amp;""</f>
        <v/>
      </c>
      <c r="E152" s="241" t="str">
        <f>IFERROR(VLOOKUP($B152,'Institution Evaluation'!$A$55:$F$345,4,0),IFERROR(VLOOKUP($B152,'Privacy Analyst Evaluation'!$A$46:$F$120,4,0),""))&amp;""</f>
        <v/>
      </c>
      <c r="F152" s="241" t="str">
        <f>IFERROR(VLOOKUP($B152,'Institution Evaluation'!$A$55:$F$345,6,0),IFERROR(VLOOKUP($B152,'Privacy Analyst Evaluation'!$A$46:$F$120,6,0),""))&amp;""</f>
        <v/>
      </c>
      <c r="G152" s="242"/>
      <c r="H152" s="241" t="str">
        <f>IFERROR(IF($H151+1&gt;'(backend scoring)'!$Q$335,"",$H151+1),"")</f>
        <v/>
      </c>
      <c r="I152" s="241" t="str">
        <f>_xlfn.XLOOKUP($H152,'(backend scoring)'!$S$2:$S$333,'(backend scoring)'!$A$2:$A$333,"")</f>
        <v/>
      </c>
      <c r="J152" s="241" t="str">
        <f>IFERROR(VLOOKUP($I152,'Institution Evaluation'!$A$55:$F$345,2,0),IFERROR(VLOOKUP($I152,'Privacy Analyst Evaluation'!$A$46:$F$120,2,0),""))</f>
        <v/>
      </c>
      <c r="K152" s="241" t="str">
        <f>IFERROR(VLOOKUP($I152,'Institution Evaluation'!$A$55:$F$345,3,0),IFERROR(VLOOKUP($I152,'Privacy Analyst Evaluation'!$A$46:$F$120,3,0),""))&amp;""</f>
        <v/>
      </c>
      <c r="L152" s="241" t="str">
        <f>IFERROR(VLOOKUP($I152,'Institution Evaluation'!$A$55:$F$345,4,0),IFERROR(VLOOKUP($I152,'Privacy Analyst Evaluation'!$A$46:$F$120,4,0),""))&amp;""</f>
        <v/>
      </c>
      <c r="M152" s="241" t="str">
        <f>IFERROR(VLOOKUP($I152,'Institution Evaluation'!$A$55:$F$345,6,0),IFERROR(VLOOKUP($I152,'Privacy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ht="17" x14ac:dyDescent="0.2">
      <c r="A153" s="241" t="str">
        <f>IFERROR(IF($A152+1&gt;'(backend scoring)'!$T$335,"",$A152+1),"")</f>
        <v/>
      </c>
      <c r="B153" s="241" t="str">
        <f>_xlfn.XLOOKUP($A153,'(backend scoring)'!$V$2:$V$333,'(backend scoring)'!$A$2:$A$333,"")</f>
        <v/>
      </c>
      <c r="C153" s="241" t="str">
        <f>IFERROR(VLOOKUP($B153,'Institution Evaluation'!$A$55:$F$345,2,0),IFERROR(VLOOKUP($B153,'Privacy Analyst Evaluation'!$A$46:$F$120,2,0),""))&amp;""</f>
        <v/>
      </c>
      <c r="D153" s="241" t="str">
        <f>IFERROR(VLOOKUP($B153,'Institution Evaluation'!$A$55:$F$345,3,0),IFERROR(VLOOKUP($B153,'Privacy Analyst Evaluation'!$A$46:$F$120,3,0),""))&amp;""</f>
        <v/>
      </c>
      <c r="E153" s="241" t="str">
        <f>IFERROR(VLOOKUP($B153,'Institution Evaluation'!$A$55:$F$345,4,0),IFERROR(VLOOKUP($B153,'Privacy Analyst Evaluation'!$A$46:$F$120,4,0),""))&amp;""</f>
        <v/>
      </c>
      <c r="F153" s="241" t="str">
        <f>IFERROR(VLOOKUP($B153,'Institution Evaluation'!$A$55:$F$345,6,0),IFERROR(VLOOKUP($B153,'Privacy Analyst Evaluation'!$A$46:$F$120,6,0),""))&amp;""</f>
        <v/>
      </c>
      <c r="G153" s="242"/>
      <c r="H153" s="241" t="str">
        <f>IFERROR(IF($H152+1&gt;'(backend scoring)'!$Q$335,"",$H152+1),"")</f>
        <v/>
      </c>
      <c r="I153" s="241" t="str">
        <f>_xlfn.XLOOKUP($H153,'(backend scoring)'!$S$2:$S$333,'(backend scoring)'!$A$2:$A$333,"")</f>
        <v/>
      </c>
      <c r="J153" s="241" t="str">
        <f>IFERROR(VLOOKUP($I153,'Institution Evaluation'!$A$55:$F$345,2,0),IFERROR(VLOOKUP($I153,'Privacy Analyst Evaluation'!$A$46:$F$120,2,0),""))</f>
        <v/>
      </c>
      <c r="K153" s="241" t="str">
        <f>IFERROR(VLOOKUP($I153,'Institution Evaluation'!$A$55:$F$345,3,0),IFERROR(VLOOKUP($I153,'Privacy Analyst Evaluation'!$A$46:$F$120,3,0),""))&amp;""</f>
        <v/>
      </c>
      <c r="L153" s="241" t="str">
        <f>IFERROR(VLOOKUP($I153,'Institution Evaluation'!$A$55:$F$345,4,0),IFERROR(VLOOKUP($I153,'Privacy Analyst Evaluation'!$A$46:$F$120,4,0),""))&amp;""</f>
        <v/>
      </c>
      <c r="M153" s="241" t="str">
        <f>IFERROR(VLOOKUP($I153,'Institution Evaluation'!$A$55:$F$345,6,0),IFERROR(VLOOKUP($I153,'Privacy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ht="17" x14ac:dyDescent="0.2">
      <c r="A154" s="241" t="str">
        <f>IFERROR(IF($A153+1&gt;'(backend scoring)'!$T$335,"",$A153+1),"")</f>
        <v/>
      </c>
      <c r="B154" s="241" t="str">
        <f>_xlfn.XLOOKUP($A154,'(backend scoring)'!$V$2:$V$333,'(backend scoring)'!$A$2:$A$333,"")</f>
        <v/>
      </c>
      <c r="C154" s="241" t="str">
        <f>IFERROR(VLOOKUP($B154,'Institution Evaluation'!$A$55:$F$345,2,0),IFERROR(VLOOKUP($B154,'Privacy Analyst Evaluation'!$A$46:$F$120,2,0),""))&amp;""</f>
        <v/>
      </c>
      <c r="D154" s="241" t="str">
        <f>IFERROR(VLOOKUP($B154,'Institution Evaluation'!$A$55:$F$345,3,0),IFERROR(VLOOKUP($B154,'Privacy Analyst Evaluation'!$A$46:$F$120,3,0),""))&amp;""</f>
        <v/>
      </c>
      <c r="E154" s="241" t="str">
        <f>IFERROR(VLOOKUP($B154,'Institution Evaluation'!$A$55:$F$345,4,0),IFERROR(VLOOKUP($B154,'Privacy Analyst Evaluation'!$A$46:$F$120,4,0),""))&amp;""</f>
        <v/>
      </c>
      <c r="F154" s="241" t="str">
        <f>IFERROR(VLOOKUP($B154,'Institution Evaluation'!$A$55:$F$345,6,0),IFERROR(VLOOKUP($B154,'Privacy Analyst Evaluation'!$A$46:$F$120,6,0),""))&amp;""</f>
        <v/>
      </c>
      <c r="G154" s="242"/>
      <c r="H154" s="241" t="str">
        <f>IFERROR(IF($H153+1&gt;'(backend scoring)'!$Q$335,"",$H153+1),"")</f>
        <v/>
      </c>
      <c r="I154" s="241" t="str">
        <f>_xlfn.XLOOKUP($H154,'(backend scoring)'!$S$2:$S$333,'(backend scoring)'!$A$2:$A$333,"")</f>
        <v/>
      </c>
      <c r="J154" s="241" t="str">
        <f>IFERROR(VLOOKUP($I154,'Institution Evaluation'!$A$55:$F$345,2,0),IFERROR(VLOOKUP($I154,'Privacy Analyst Evaluation'!$A$46:$F$120,2,0),""))</f>
        <v/>
      </c>
      <c r="K154" s="241" t="str">
        <f>IFERROR(VLOOKUP($I154,'Institution Evaluation'!$A$55:$F$345,3,0),IFERROR(VLOOKUP($I154,'Privacy Analyst Evaluation'!$A$46:$F$120,3,0),""))&amp;""</f>
        <v/>
      </c>
      <c r="L154" s="241" t="str">
        <f>IFERROR(VLOOKUP($I154,'Institution Evaluation'!$A$55:$F$345,4,0),IFERROR(VLOOKUP($I154,'Privacy Analyst Evaluation'!$A$46:$F$120,4,0),""))&amp;""</f>
        <v/>
      </c>
      <c r="M154" s="241" t="str">
        <f>IFERROR(VLOOKUP($I154,'Institution Evaluation'!$A$55:$F$345,6,0),IFERROR(VLOOKUP($I154,'Privacy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ht="17" x14ac:dyDescent="0.2">
      <c r="A155" s="241" t="str">
        <f>IFERROR(IF($A154+1&gt;'(backend scoring)'!$T$335,"",$A154+1),"")</f>
        <v/>
      </c>
      <c r="B155" s="241" t="str">
        <f>_xlfn.XLOOKUP($A155,'(backend scoring)'!$V$2:$V$333,'(backend scoring)'!$A$2:$A$333,"")</f>
        <v/>
      </c>
      <c r="C155" s="241" t="str">
        <f>IFERROR(VLOOKUP($B155,'Institution Evaluation'!$A$55:$F$345,2,0),IFERROR(VLOOKUP($B155,'Privacy Analyst Evaluation'!$A$46:$F$120,2,0),""))&amp;""</f>
        <v/>
      </c>
      <c r="D155" s="241" t="str">
        <f>IFERROR(VLOOKUP($B155,'Institution Evaluation'!$A$55:$F$345,3,0),IFERROR(VLOOKUP($B155,'Privacy Analyst Evaluation'!$A$46:$F$120,3,0),""))&amp;""</f>
        <v/>
      </c>
      <c r="E155" s="241" t="str">
        <f>IFERROR(VLOOKUP($B155,'Institution Evaluation'!$A$55:$F$345,4,0),IFERROR(VLOOKUP($B155,'Privacy Analyst Evaluation'!$A$46:$F$120,4,0),""))&amp;""</f>
        <v/>
      </c>
      <c r="F155" s="241" t="str">
        <f>IFERROR(VLOOKUP($B155,'Institution Evaluation'!$A$55:$F$345,6,0),IFERROR(VLOOKUP($B155,'Privacy Analyst Evaluation'!$A$46:$F$120,6,0),""))&amp;""</f>
        <v/>
      </c>
      <c r="G155" s="242"/>
      <c r="H155" s="241" t="str">
        <f>IFERROR(IF($H154+1&gt;'(backend scoring)'!$Q$335,"",$H154+1),"")</f>
        <v/>
      </c>
      <c r="I155" s="241" t="str">
        <f>_xlfn.XLOOKUP($H155,'(backend scoring)'!$S$2:$S$333,'(backend scoring)'!$A$2:$A$333,"")</f>
        <v/>
      </c>
      <c r="J155" s="241" t="str">
        <f>IFERROR(VLOOKUP($I155,'Institution Evaluation'!$A$55:$F$345,2,0),IFERROR(VLOOKUP($I155,'Privacy Analyst Evaluation'!$A$46:$F$120,2,0),""))</f>
        <v/>
      </c>
      <c r="K155" s="241" t="str">
        <f>IFERROR(VLOOKUP($I155,'Institution Evaluation'!$A$55:$F$345,3,0),IFERROR(VLOOKUP($I155,'Privacy Analyst Evaluation'!$A$46:$F$120,3,0),""))&amp;""</f>
        <v/>
      </c>
      <c r="L155" s="241" t="str">
        <f>IFERROR(VLOOKUP($I155,'Institution Evaluation'!$A$55:$F$345,4,0),IFERROR(VLOOKUP($I155,'Privacy Analyst Evaluation'!$A$46:$F$120,4,0),""))&amp;""</f>
        <v/>
      </c>
      <c r="M155" s="241" t="str">
        <f>IFERROR(VLOOKUP($I155,'Institution Evaluation'!$A$55:$F$345,6,0),IFERROR(VLOOKUP($I155,'Privacy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ht="17" x14ac:dyDescent="0.2">
      <c r="A156" s="241" t="str">
        <f>IFERROR(IF($A155+1&gt;'(backend scoring)'!$T$335,"",$A155+1),"")</f>
        <v/>
      </c>
      <c r="B156" s="241" t="str">
        <f>_xlfn.XLOOKUP($A156,'(backend scoring)'!$V$2:$V$333,'(backend scoring)'!$A$2:$A$333,"")</f>
        <v/>
      </c>
      <c r="C156" s="241" t="str">
        <f>IFERROR(VLOOKUP($B156,'Institution Evaluation'!$A$55:$F$345,2,0),IFERROR(VLOOKUP($B156,'Privacy Analyst Evaluation'!$A$46:$F$120,2,0),""))&amp;""</f>
        <v/>
      </c>
      <c r="D156" s="241" t="str">
        <f>IFERROR(VLOOKUP($B156,'Institution Evaluation'!$A$55:$F$345,3,0),IFERROR(VLOOKUP($B156,'Privacy Analyst Evaluation'!$A$46:$F$120,3,0),""))&amp;""</f>
        <v/>
      </c>
      <c r="E156" s="241" t="str">
        <f>IFERROR(VLOOKUP($B156,'Institution Evaluation'!$A$55:$F$345,4,0),IFERROR(VLOOKUP($B156,'Privacy Analyst Evaluation'!$A$46:$F$120,4,0),""))&amp;""</f>
        <v/>
      </c>
      <c r="F156" s="241" t="str">
        <f>IFERROR(VLOOKUP($B156,'Institution Evaluation'!$A$55:$F$345,6,0),IFERROR(VLOOKUP($B156,'Privacy Analyst Evaluation'!$A$46:$F$120,6,0),""))&amp;""</f>
        <v/>
      </c>
      <c r="G156" s="242"/>
      <c r="H156" s="241" t="str">
        <f>IFERROR(IF($H155+1&gt;'(backend scoring)'!$Q$335,"",$H155+1),"")</f>
        <v/>
      </c>
      <c r="I156" s="241" t="str">
        <f>_xlfn.XLOOKUP($H156,'(backend scoring)'!$S$2:$S$333,'(backend scoring)'!$A$2:$A$333,"")</f>
        <v/>
      </c>
      <c r="J156" s="241" t="str">
        <f>IFERROR(VLOOKUP($I156,'Institution Evaluation'!$A$55:$F$345,2,0),IFERROR(VLOOKUP($I156,'Privacy Analyst Evaluation'!$A$46:$F$120,2,0),""))</f>
        <v/>
      </c>
      <c r="K156" s="241" t="str">
        <f>IFERROR(VLOOKUP($I156,'Institution Evaluation'!$A$55:$F$345,3,0),IFERROR(VLOOKUP($I156,'Privacy Analyst Evaluation'!$A$46:$F$120,3,0),""))&amp;""</f>
        <v/>
      </c>
      <c r="L156" s="241" t="str">
        <f>IFERROR(VLOOKUP($I156,'Institution Evaluation'!$A$55:$F$345,4,0),IFERROR(VLOOKUP($I156,'Privacy Analyst Evaluation'!$A$46:$F$120,4,0),""))&amp;""</f>
        <v/>
      </c>
      <c r="M156" s="241" t="str">
        <f>IFERROR(VLOOKUP($I156,'Institution Evaluation'!$A$55:$F$345,6,0),IFERROR(VLOOKUP($I156,'Privacy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ht="17" x14ac:dyDescent="0.2">
      <c r="A157" s="241" t="str">
        <f>IFERROR(IF($A156+1&gt;'(backend scoring)'!$T$335,"",$A156+1),"")</f>
        <v/>
      </c>
      <c r="B157" s="241" t="str">
        <f>_xlfn.XLOOKUP($A157,'(backend scoring)'!$V$2:$V$333,'(backend scoring)'!$A$2:$A$333,"")</f>
        <v/>
      </c>
      <c r="C157" s="241" t="str">
        <f>IFERROR(VLOOKUP($B157,'Institution Evaluation'!$A$55:$F$345,2,0),IFERROR(VLOOKUP($B157,'Privacy Analyst Evaluation'!$A$46:$F$120,2,0),""))&amp;""</f>
        <v/>
      </c>
      <c r="D157" s="241" t="str">
        <f>IFERROR(VLOOKUP($B157,'Institution Evaluation'!$A$55:$F$345,3,0),IFERROR(VLOOKUP($B157,'Privacy Analyst Evaluation'!$A$46:$F$120,3,0),""))&amp;""</f>
        <v/>
      </c>
      <c r="E157" s="241" t="str">
        <f>IFERROR(VLOOKUP($B157,'Institution Evaluation'!$A$55:$F$345,4,0),IFERROR(VLOOKUP($B157,'Privacy Analyst Evaluation'!$A$46:$F$120,4,0),""))&amp;""</f>
        <v/>
      </c>
      <c r="F157" s="241" t="str">
        <f>IFERROR(VLOOKUP($B157,'Institution Evaluation'!$A$55:$F$345,6,0),IFERROR(VLOOKUP($B157,'Privacy Analyst Evaluation'!$A$46:$F$120,6,0),""))&amp;""</f>
        <v/>
      </c>
      <c r="G157" s="242"/>
      <c r="H157" s="241" t="str">
        <f>IFERROR(IF($H156+1&gt;'(backend scoring)'!$Q$335,"",$H156+1),"")</f>
        <v/>
      </c>
      <c r="I157" s="241" t="str">
        <f>_xlfn.XLOOKUP($H157,'(backend scoring)'!$S$2:$S$333,'(backend scoring)'!$A$2:$A$333,"")</f>
        <v/>
      </c>
      <c r="J157" s="241" t="str">
        <f>IFERROR(VLOOKUP($I157,'Institution Evaluation'!$A$55:$F$345,2,0),IFERROR(VLOOKUP($I157,'Privacy Analyst Evaluation'!$A$46:$F$120,2,0),""))</f>
        <v/>
      </c>
      <c r="K157" s="241" t="str">
        <f>IFERROR(VLOOKUP($I157,'Institution Evaluation'!$A$55:$F$345,3,0),IFERROR(VLOOKUP($I157,'Privacy Analyst Evaluation'!$A$46:$F$120,3,0),""))&amp;""</f>
        <v/>
      </c>
      <c r="L157" s="241" t="str">
        <f>IFERROR(VLOOKUP($I157,'Institution Evaluation'!$A$55:$F$345,4,0),IFERROR(VLOOKUP($I157,'Privacy Analyst Evaluation'!$A$46:$F$120,4,0),""))&amp;""</f>
        <v/>
      </c>
      <c r="M157" s="241" t="str">
        <f>IFERROR(VLOOKUP($I157,'Institution Evaluation'!$A$55:$F$345,6,0),IFERROR(VLOOKUP($I157,'Privacy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ht="17" x14ac:dyDescent="0.2">
      <c r="A158" s="241" t="str">
        <f>IFERROR(IF($A157+1&gt;'(backend scoring)'!$T$335,"",$A157+1),"")</f>
        <v/>
      </c>
      <c r="B158" s="241" t="str">
        <f>_xlfn.XLOOKUP($A158,'(backend scoring)'!$V$2:$V$333,'(backend scoring)'!$A$2:$A$333,"")</f>
        <v/>
      </c>
      <c r="C158" s="241" t="str">
        <f>IFERROR(VLOOKUP($B158,'Institution Evaluation'!$A$55:$F$345,2,0),IFERROR(VLOOKUP($B158,'Privacy Analyst Evaluation'!$A$46:$F$120,2,0),""))&amp;""</f>
        <v/>
      </c>
      <c r="D158" s="241" t="str">
        <f>IFERROR(VLOOKUP($B158,'Institution Evaluation'!$A$55:$F$345,3,0),IFERROR(VLOOKUP($B158,'Privacy Analyst Evaluation'!$A$46:$F$120,3,0),""))&amp;""</f>
        <v/>
      </c>
      <c r="E158" s="241" t="str">
        <f>IFERROR(VLOOKUP($B158,'Institution Evaluation'!$A$55:$F$345,4,0),IFERROR(VLOOKUP($B158,'Privacy Analyst Evaluation'!$A$46:$F$120,4,0),""))&amp;""</f>
        <v/>
      </c>
      <c r="F158" s="241" t="str">
        <f>IFERROR(VLOOKUP($B158,'Institution Evaluation'!$A$55:$F$345,6,0),IFERROR(VLOOKUP($B158,'Privacy Analyst Evaluation'!$A$46:$F$120,6,0),""))&amp;""</f>
        <v/>
      </c>
      <c r="G158" s="242"/>
      <c r="H158" s="241" t="str">
        <f>IFERROR(IF($H157+1&gt;'(backend scoring)'!$Q$335,"",$H157+1),"")</f>
        <v/>
      </c>
      <c r="I158" s="241" t="str">
        <f>_xlfn.XLOOKUP($H158,'(backend scoring)'!$S$2:$S$333,'(backend scoring)'!$A$2:$A$333,"")</f>
        <v/>
      </c>
      <c r="J158" s="241" t="str">
        <f>IFERROR(VLOOKUP($I158,'Institution Evaluation'!$A$55:$F$345,2,0),IFERROR(VLOOKUP($I158,'Privacy Analyst Evaluation'!$A$46:$F$120,2,0),""))</f>
        <v/>
      </c>
      <c r="K158" s="241" t="str">
        <f>IFERROR(VLOOKUP($I158,'Institution Evaluation'!$A$55:$F$345,3,0),IFERROR(VLOOKUP($I158,'Privacy Analyst Evaluation'!$A$46:$F$120,3,0),""))&amp;""</f>
        <v/>
      </c>
      <c r="L158" s="241" t="str">
        <f>IFERROR(VLOOKUP($I158,'Institution Evaluation'!$A$55:$F$345,4,0),IFERROR(VLOOKUP($I158,'Privacy Analyst Evaluation'!$A$46:$F$120,4,0),""))&amp;""</f>
        <v/>
      </c>
      <c r="M158" s="241" t="str">
        <f>IFERROR(VLOOKUP($I158,'Institution Evaluation'!$A$55:$F$345,6,0),IFERROR(VLOOKUP($I158,'Privacy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ht="17" x14ac:dyDescent="0.2">
      <c r="A159" s="241" t="str">
        <f>IFERROR(IF($A158+1&gt;'(backend scoring)'!$T$335,"",$A158+1),"")</f>
        <v/>
      </c>
      <c r="B159" s="241" t="str">
        <f>_xlfn.XLOOKUP($A159,'(backend scoring)'!$V$2:$V$333,'(backend scoring)'!$A$2:$A$333,"")</f>
        <v/>
      </c>
      <c r="C159" s="241" t="str">
        <f>IFERROR(VLOOKUP($B159,'Institution Evaluation'!$A$55:$F$345,2,0),IFERROR(VLOOKUP($B159,'Privacy Analyst Evaluation'!$A$46:$F$120,2,0),""))&amp;""</f>
        <v/>
      </c>
      <c r="D159" s="241" t="str">
        <f>IFERROR(VLOOKUP($B159,'Institution Evaluation'!$A$55:$F$345,3,0),IFERROR(VLOOKUP($B159,'Privacy Analyst Evaluation'!$A$46:$F$120,3,0),""))&amp;""</f>
        <v/>
      </c>
      <c r="E159" s="241" t="str">
        <f>IFERROR(VLOOKUP($B159,'Institution Evaluation'!$A$55:$F$345,4,0),IFERROR(VLOOKUP($B159,'Privacy Analyst Evaluation'!$A$46:$F$120,4,0),""))&amp;""</f>
        <v/>
      </c>
      <c r="F159" s="241" t="str">
        <f>IFERROR(VLOOKUP($B159,'Institution Evaluation'!$A$55:$F$345,6,0),IFERROR(VLOOKUP($B159,'Privacy Analyst Evaluation'!$A$46:$F$120,6,0),""))&amp;""</f>
        <v/>
      </c>
      <c r="G159" s="242"/>
      <c r="H159" s="241" t="str">
        <f>IFERROR(IF($H158+1&gt;'(backend scoring)'!$Q$335,"",$H158+1),"")</f>
        <v/>
      </c>
      <c r="I159" s="241" t="str">
        <f>_xlfn.XLOOKUP($H159,'(backend scoring)'!$S$2:$S$333,'(backend scoring)'!$A$2:$A$333,"")</f>
        <v/>
      </c>
      <c r="J159" s="241" t="str">
        <f>IFERROR(VLOOKUP($I159,'Institution Evaluation'!$A$55:$F$345,2,0),IFERROR(VLOOKUP($I159,'Privacy Analyst Evaluation'!$A$46:$F$120,2,0),""))</f>
        <v/>
      </c>
      <c r="K159" s="241" t="str">
        <f>IFERROR(VLOOKUP($I159,'Institution Evaluation'!$A$55:$F$345,3,0),IFERROR(VLOOKUP($I159,'Privacy Analyst Evaluation'!$A$46:$F$120,3,0),""))&amp;""</f>
        <v/>
      </c>
      <c r="L159" s="241" t="str">
        <f>IFERROR(VLOOKUP($I159,'Institution Evaluation'!$A$55:$F$345,4,0),IFERROR(VLOOKUP($I159,'Privacy Analyst Evaluation'!$A$46:$F$120,4,0),""))&amp;""</f>
        <v/>
      </c>
      <c r="M159" s="241" t="str">
        <f>IFERROR(VLOOKUP($I159,'Institution Evaluation'!$A$55:$F$345,6,0),IFERROR(VLOOKUP($I159,'Privacy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ht="17" x14ac:dyDescent="0.2">
      <c r="A160" s="241" t="str">
        <f>IFERROR(IF($A159+1&gt;'(backend scoring)'!$T$335,"",$A159+1),"")</f>
        <v/>
      </c>
      <c r="B160" s="241" t="str">
        <f>_xlfn.XLOOKUP($A160,'(backend scoring)'!$V$2:$V$333,'(backend scoring)'!$A$2:$A$333,"")</f>
        <v/>
      </c>
      <c r="C160" s="241" t="str">
        <f>IFERROR(VLOOKUP($B160,'Institution Evaluation'!$A$55:$F$345,2,0),IFERROR(VLOOKUP($B160,'Privacy Analyst Evaluation'!$A$46:$F$120,2,0),""))&amp;""</f>
        <v/>
      </c>
      <c r="D160" s="241" t="str">
        <f>IFERROR(VLOOKUP($B160,'Institution Evaluation'!$A$55:$F$345,3,0),IFERROR(VLOOKUP($B160,'Privacy Analyst Evaluation'!$A$46:$F$120,3,0),""))&amp;""</f>
        <v/>
      </c>
      <c r="E160" s="241" t="str">
        <f>IFERROR(VLOOKUP($B160,'Institution Evaluation'!$A$55:$F$345,4,0),IFERROR(VLOOKUP($B160,'Privacy Analyst Evaluation'!$A$46:$F$120,4,0),""))&amp;""</f>
        <v/>
      </c>
      <c r="F160" s="241" t="str">
        <f>IFERROR(VLOOKUP($B160,'Institution Evaluation'!$A$55:$F$345,6,0),IFERROR(VLOOKUP($B160,'Privacy Analyst Evaluation'!$A$46:$F$120,6,0),""))&amp;""</f>
        <v/>
      </c>
      <c r="G160" s="242"/>
      <c r="H160" s="241" t="str">
        <f>IFERROR(IF($H159+1&gt;'(backend scoring)'!$Q$335,"",$H159+1),"")</f>
        <v/>
      </c>
      <c r="I160" s="241" t="str">
        <f>_xlfn.XLOOKUP($H160,'(backend scoring)'!$S$2:$S$333,'(backend scoring)'!$A$2:$A$333,"")</f>
        <v/>
      </c>
      <c r="J160" s="241" t="str">
        <f>IFERROR(VLOOKUP($I160,'Institution Evaluation'!$A$55:$F$345,2,0),IFERROR(VLOOKUP($I160,'Privacy Analyst Evaluation'!$A$46:$F$120,2,0),""))</f>
        <v/>
      </c>
      <c r="K160" s="241" t="str">
        <f>IFERROR(VLOOKUP($I160,'Institution Evaluation'!$A$55:$F$345,3,0),IFERROR(VLOOKUP($I160,'Privacy Analyst Evaluation'!$A$46:$F$120,3,0),""))&amp;""</f>
        <v/>
      </c>
      <c r="L160" s="241" t="str">
        <f>IFERROR(VLOOKUP($I160,'Institution Evaluation'!$A$55:$F$345,4,0),IFERROR(VLOOKUP($I160,'Privacy Analyst Evaluation'!$A$46:$F$120,4,0),""))&amp;""</f>
        <v/>
      </c>
      <c r="M160" s="241" t="str">
        <f>IFERROR(VLOOKUP($I160,'Institution Evaluation'!$A$55:$F$345,6,0),IFERROR(VLOOKUP($I160,'Privacy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ht="17" x14ac:dyDescent="0.2">
      <c r="A161" s="241" t="str">
        <f>IFERROR(IF($A160+1&gt;'(backend scoring)'!$T$335,"",$A160+1),"")</f>
        <v/>
      </c>
      <c r="B161" s="241" t="str">
        <f>_xlfn.XLOOKUP($A161,'(backend scoring)'!$V$2:$V$333,'(backend scoring)'!$A$2:$A$333,"")</f>
        <v/>
      </c>
      <c r="C161" s="241" t="str">
        <f>IFERROR(VLOOKUP($B161,'Institution Evaluation'!$A$55:$F$345,2,0),IFERROR(VLOOKUP($B161,'Privacy Analyst Evaluation'!$A$46:$F$120,2,0),""))&amp;""</f>
        <v/>
      </c>
      <c r="D161" s="241" t="str">
        <f>IFERROR(VLOOKUP($B161,'Institution Evaluation'!$A$55:$F$345,3,0),IFERROR(VLOOKUP($B161,'Privacy Analyst Evaluation'!$A$46:$F$120,3,0),""))&amp;""</f>
        <v/>
      </c>
      <c r="E161" s="241" t="str">
        <f>IFERROR(VLOOKUP($B161,'Institution Evaluation'!$A$55:$F$345,4,0),IFERROR(VLOOKUP($B161,'Privacy Analyst Evaluation'!$A$46:$F$120,4,0),""))&amp;""</f>
        <v/>
      </c>
      <c r="F161" s="241" t="str">
        <f>IFERROR(VLOOKUP($B161,'Institution Evaluation'!$A$55:$F$345,6,0),IFERROR(VLOOKUP($B161,'Privacy Analyst Evaluation'!$A$46:$F$120,6,0),""))&amp;""</f>
        <v/>
      </c>
      <c r="G161" s="242"/>
      <c r="H161" s="241" t="str">
        <f>IFERROR(IF($H160+1&gt;'(backend scoring)'!$Q$335,"",$H160+1),"")</f>
        <v/>
      </c>
      <c r="I161" s="241" t="str">
        <f>_xlfn.XLOOKUP($H161,'(backend scoring)'!$S$2:$S$333,'(backend scoring)'!$A$2:$A$333,"")</f>
        <v/>
      </c>
      <c r="J161" s="241" t="str">
        <f>IFERROR(VLOOKUP($I161,'Institution Evaluation'!$A$55:$F$345,2,0),IFERROR(VLOOKUP($I161,'Privacy Analyst Evaluation'!$A$46:$F$120,2,0),""))</f>
        <v/>
      </c>
      <c r="K161" s="241" t="str">
        <f>IFERROR(VLOOKUP($I161,'Institution Evaluation'!$A$55:$F$345,3,0),IFERROR(VLOOKUP($I161,'Privacy Analyst Evaluation'!$A$46:$F$120,3,0),""))&amp;""</f>
        <v/>
      </c>
      <c r="L161" s="241" t="str">
        <f>IFERROR(VLOOKUP($I161,'Institution Evaluation'!$A$55:$F$345,4,0),IFERROR(VLOOKUP($I161,'Privacy Analyst Evaluation'!$A$46:$F$120,4,0),""))&amp;""</f>
        <v/>
      </c>
      <c r="M161" s="241" t="str">
        <f>IFERROR(VLOOKUP($I161,'Institution Evaluation'!$A$55:$F$345,6,0),IFERROR(VLOOKUP($I161,'Privacy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ht="17" x14ac:dyDescent="0.2">
      <c r="A162" s="241" t="str">
        <f>IFERROR(IF($A161+1&gt;'(backend scoring)'!$T$335,"",$A161+1),"")</f>
        <v/>
      </c>
      <c r="B162" s="241" t="str">
        <f>_xlfn.XLOOKUP($A162,'(backend scoring)'!$V$2:$V$333,'(backend scoring)'!$A$2:$A$333,"")</f>
        <v/>
      </c>
      <c r="C162" s="241" t="str">
        <f>IFERROR(VLOOKUP($B162,'Institution Evaluation'!$A$55:$F$345,2,0),IFERROR(VLOOKUP($B162,'Privacy Analyst Evaluation'!$A$46:$F$120,2,0),""))&amp;""</f>
        <v/>
      </c>
      <c r="D162" s="241" t="str">
        <f>IFERROR(VLOOKUP($B162,'Institution Evaluation'!$A$55:$F$345,3,0),IFERROR(VLOOKUP($B162,'Privacy Analyst Evaluation'!$A$46:$F$120,3,0),""))&amp;""</f>
        <v/>
      </c>
      <c r="E162" s="241" t="str">
        <f>IFERROR(VLOOKUP($B162,'Institution Evaluation'!$A$55:$F$345,4,0),IFERROR(VLOOKUP($B162,'Privacy Analyst Evaluation'!$A$46:$F$120,4,0),""))&amp;""</f>
        <v/>
      </c>
      <c r="F162" s="241" t="str">
        <f>IFERROR(VLOOKUP($B162,'Institution Evaluation'!$A$55:$F$345,6,0),IFERROR(VLOOKUP($B162,'Privacy Analyst Evaluation'!$A$46:$F$120,6,0),""))&amp;""</f>
        <v/>
      </c>
      <c r="G162" s="242"/>
      <c r="H162" s="241" t="str">
        <f>IFERROR(IF($H161+1&gt;'(backend scoring)'!$Q$335,"",$H161+1),"")</f>
        <v/>
      </c>
      <c r="I162" s="241" t="str">
        <f>_xlfn.XLOOKUP($H162,'(backend scoring)'!$S$2:$S$333,'(backend scoring)'!$A$2:$A$333,"")</f>
        <v/>
      </c>
      <c r="J162" s="241" t="str">
        <f>IFERROR(VLOOKUP($I162,'Institution Evaluation'!$A$55:$F$345,2,0),IFERROR(VLOOKUP($I162,'Privacy Analyst Evaluation'!$A$46:$F$120,2,0),""))</f>
        <v/>
      </c>
      <c r="K162" s="241" t="str">
        <f>IFERROR(VLOOKUP($I162,'Institution Evaluation'!$A$55:$F$345,3,0),IFERROR(VLOOKUP($I162,'Privacy Analyst Evaluation'!$A$46:$F$120,3,0),""))&amp;""</f>
        <v/>
      </c>
      <c r="L162" s="241" t="str">
        <f>IFERROR(VLOOKUP($I162,'Institution Evaluation'!$A$55:$F$345,4,0),IFERROR(VLOOKUP($I162,'Privacy Analyst Evaluation'!$A$46:$F$120,4,0),""))&amp;""</f>
        <v/>
      </c>
      <c r="M162" s="241" t="str">
        <f>IFERROR(VLOOKUP($I162,'Institution Evaluation'!$A$55:$F$345,6,0),IFERROR(VLOOKUP($I162,'Privacy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ht="17" x14ac:dyDescent="0.2">
      <c r="A163" s="241" t="str">
        <f>IFERROR(IF($A162+1&gt;'(backend scoring)'!$T$335,"",$A162+1),"")</f>
        <v/>
      </c>
      <c r="B163" s="241" t="str">
        <f>_xlfn.XLOOKUP($A163,'(backend scoring)'!$V$2:$V$333,'(backend scoring)'!$A$2:$A$333,"")</f>
        <v/>
      </c>
      <c r="C163" s="241" t="str">
        <f>IFERROR(VLOOKUP($B163,'Institution Evaluation'!$A$55:$F$345,2,0),IFERROR(VLOOKUP($B163,'Privacy Analyst Evaluation'!$A$46:$F$120,2,0),""))&amp;""</f>
        <v/>
      </c>
      <c r="D163" s="241" t="str">
        <f>IFERROR(VLOOKUP($B163,'Institution Evaluation'!$A$55:$F$345,3,0),IFERROR(VLOOKUP($B163,'Privacy Analyst Evaluation'!$A$46:$F$120,3,0),""))&amp;""</f>
        <v/>
      </c>
      <c r="E163" s="241" t="str">
        <f>IFERROR(VLOOKUP($B163,'Institution Evaluation'!$A$55:$F$345,4,0),IFERROR(VLOOKUP($B163,'Privacy Analyst Evaluation'!$A$46:$F$120,4,0),""))&amp;""</f>
        <v/>
      </c>
      <c r="F163" s="241" t="str">
        <f>IFERROR(VLOOKUP($B163,'Institution Evaluation'!$A$55:$F$345,6,0),IFERROR(VLOOKUP($B163,'Privacy Analyst Evaluation'!$A$46:$F$120,6,0),""))&amp;""</f>
        <v/>
      </c>
      <c r="G163" s="242"/>
      <c r="H163" s="241" t="str">
        <f>IFERROR(IF($H162+1&gt;'(backend scoring)'!$Q$335,"",$H162+1),"")</f>
        <v/>
      </c>
      <c r="I163" s="241" t="str">
        <f>_xlfn.XLOOKUP($H163,'(backend scoring)'!$S$2:$S$333,'(backend scoring)'!$A$2:$A$333,"")</f>
        <v/>
      </c>
      <c r="J163" s="241" t="str">
        <f>IFERROR(VLOOKUP($I163,'Institution Evaluation'!$A$55:$F$345,2,0),IFERROR(VLOOKUP($I163,'Privacy Analyst Evaluation'!$A$46:$F$120,2,0),""))</f>
        <v/>
      </c>
      <c r="K163" s="241" t="str">
        <f>IFERROR(VLOOKUP($I163,'Institution Evaluation'!$A$55:$F$345,3,0),IFERROR(VLOOKUP($I163,'Privacy Analyst Evaluation'!$A$46:$F$120,3,0),""))&amp;""</f>
        <v/>
      </c>
      <c r="L163" s="241" t="str">
        <f>IFERROR(VLOOKUP($I163,'Institution Evaluation'!$A$55:$F$345,4,0),IFERROR(VLOOKUP($I163,'Privacy Analyst Evaluation'!$A$46:$F$120,4,0),""))&amp;""</f>
        <v/>
      </c>
      <c r="M163" s="241" t="str">
        <f>IFERROR(VLOOKUP($I163,'Institution Evaluation'!$A$55:$F$345,6,0),IFERROR(VLOOKUP($I163,'Privacy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ht="17" x14ac:dyDescent="0.2">
      <c r="A164" s="241" t="str">
        <f>IFERROR(IF($A163+1&gt;'(backend scoring)'!$T$335,"",$A163+1),"")</f>
        <v/>
      </c>
      <c r="B164" s="241" t="str">
        <f>_xlfn.XLOOKUP($A164,'(backend scoring)'!$V$2:$V$333,'(backend scoring)'!$A$2:$A$333,"")</f>
        <v/>
      </c>
      <c r="C164" s="241" t="str">
        <f>IFERROR(VLOOKUP($B164,'Institution Evaluation'!$A$55:$F$345,2,0),IFERROR(VLOOKUP($B164,'Privacy Analyst Evaluation'!$A$46:$F$120,2,0),""))&amp;""</f>
        <v/>
      </c>
      <c r="D164" s="241" t="str">
        <f>IFERROR(VLOOKUP($B164,'Institution Evaluation'!$A$55:$F$345,3,0),IFERROR(VLOOKUP($B164,'Privacy Analyst Evaluation'!$A$46:$F$120,3,0),""))&amp;""</f>
        <v/>
      </c>
      <c r="E164" s="241" t="str">
        <f>IFERROR(VLOOKUP($B164,'Institution Evaluation'!$A$55:$F$345,4,0),IFERROR(VLOOKUP($B164,'Privacy Analyst Evaluation'!$A$46:$F$120,4,0),""))&amp;""</f>
        <v/>
      </c>
      <c r="F164" s="241" t="str">
        <f>IFERROR(VLOOKUP($B164,'Institution Evaluation'!$A$55:$F$345,6,0),IFERROR(VLOOKUP($B164,'Privacy Analyst Evaluation'!$A$46:$F$120,6,0),""))&amp;""</f>
        <v/>
      </c>
      <c r="G164" s="242"/>
      <c r="H164" s="241" t="str">
        <f>IFERROR(IF($H163+1&gt;'(backend scoring)'!$Q$335,"",$H163+1),"")</f>
        <v/>
      </c>
      <c r="I164" s="241" t="str">
        <f>_xlfn.XLOOKUP($H164,'(backend scoring)'!$S$2:$S$333,'(backend scoring)'!$A$2:$A$333,"")</f>
        <v/>
      </c>
      <c r="J164" s="241" t="str">
        <f>IFERROR(VLOOKUP($I164,'Institution Evaluation'!$A$55:$F$345,2,0),IFERROR(VLOOKUP($I164,'Privacy Analyst Evaluation'!$A$46:$F$120,2,0),""))</f>
        <v/>
      </c>
      <c r="K164" s="241" t="str">
        <f>IFERROR(VLOOKUP($I164,'Institution Evaluation'!$A$55:$F$345,3,0),IFERROR(VLOOKUP($I164,'Privacy Analyst Evaluation'!$A$46:$F$120,3,0),""))&amp;""</f>
        <v/>
      </c>
      <c r="L164" s="241" t="str">
        <f>IFERROR(VLOOKUP($I164,'Institution Evaluation'!$A$55:$F$345,4,0),IFERROR(VLOOKUP($I164,'Privacy Analyst Evaluation'!$A$46:$F$120,4,0),""))&amp;""</f>
        <v/>
      </c>
      <c r="M164" s="241" t="str">
        <f>IFERROR(VLOOKUP($I164,'Institution Evaluation'!$A$55:$F$345,6,0),IFERROR(VLOOKUP($I164,'Privacy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ht="17" x14ac:dyDescent="0.2">
      <c r="A165" s="241" t="str">
        <f>IFERROR(IF($A164+1&gt;'(backend scoring)'!$T$335,"",$A164+1),"")</f>
        <v/>
      </c>
      <c r="B165" s="241" t="str">
        <f>_xlfn.XLOOKUP($A165,'(backend scoring)'!$V$2:$V$333,'(backend scoring)'!$A$2:$A$333,"")</f>
        <v/>
      </c>
      <c r="C165" s="241" t="str">
        <f>IFERROR(VLOOKUP($B165,'Institution Evaluation'!$A$55:$F$345,2,0),IFERROR(VLOOKUP($B165,'Privacy Analyst Evaluation'!$A$46:$F$120,2,0),""))&amp;""</f>
        <v/>
      </c>
      <c r="D165" s="241" t="str">
        <f>IFERROR(VLOOKUP($B165,'Institution Evaluation'!$A$55:$F$345,3,0),IFERROR(VLOOKUP($B165,'Privacy Analyst Evaluation'!$A$46:$F$120,3,0),""))&amp;""</f>
        <v/>
      </c>
      <c r="E165" s="241" t="str">
        <f>IFERROR(VLOOKUP($B165,'Institution Evaluation'!$A$55:$F$345,4,0),IFERROR(VLOOKUP($B165,'Privacy Analyst Evaluation'!$A$46:$F$120,4,0),""))&amp;""</f>
        <v/>
      </c>
      <c r="F165" s="241" t="str">
        <f>IFERROR(VLOOKUP($B165,'Institution Evaluation'!$A$55:$F$345,6,0),IFERROR(VLOOKUP($B165,'Privacy Analyst Evaluation'!$A$46:$F$120,6,0),""))&amp;""</f>
        <v/>
      </c>
      <c r="G165" s="242"/>
      <c r="H165" s="241" t="str">
        <f>IFERROR(IF($H164+1&gt;'(backend scoring)'!$Q$335,"",$H164+1),"")</f>
        <v/>
      </c>
      <c r="I165" s="241" t="str">
        <f>_xlfn.XLOOKUP($H165,'(backend scoring)'!$S$2:$S$333,'(backend scoring)'!$A$2:$A$333,"")</f>
        <v/>
      </c>
      <c r="J165" s="241" t="str">
        <f>IFERROR(VLOOKUP($I165,'Institution Evaluation'!$A$55:$F$345,2,0),IFERROR(VLOOKUP($I165,'Privacy Analyst Evaluation'!$A$46:$F$120,2,0),""))</f>
        <v/>
      </c>
      <c r="K165" s="241" t="str">
        <f>IFERROR(VLOOKUP($I165,'Institution Evaluation'!$A$55:$F$345,3,0),IFERROR(VLOOKUP($I165,'Privacy Analyst Evaluation'!$A$46:$F$120,3,0),""))&amp;""</f>
        <v/>
      </c>
      <c r="L165" s="241" t="str">
        <f>IFERROR(VLOOKUP($I165,'Institution Evaluation'!$A$55:$F$345,4,0),IFERROR(VLOOKUP($I165,'Privacy Analyst Evaluation'!$A$46:$F$120,4,0),""))&amp;""</f>
        <v/>
      </c>
      <c r="M165" s="241" t="str">
        <f>IFERROR(VLOOKUP($I165,'Institution Evaluation'!$A$55:$F$345,6,0),IFERROR(VLOOKUP($I165,'Privacy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ht="17" x14ac:dyDescent="0.2">
      <c r="A166" s="241" t="str">
        <f>IFERROR(IF($A165+1&gt;'(backend scoring)'!$T$335,"",$A165+1),"")</f>
        <v/>
      </c>
      <c r="B166" s="241" t="str">
        <f>_xlfn.XLOOKUP($A166,'(backend scoring)'!$V$2:$V$333,'(backend scoring)'!$A$2:$A$333,"")</f>
        <v/>
      </c>
      <c r="C166" s="241" t="str">
        <f>IFERROR(VLOOKUP($B166,'Institution Evaluation'!$A$55:$F$345,2,0),IFERROR(VLOOKUP($B166,'Privacy Analyst Evaluation'!$A$46:$F$120,2,0),""))&amp;""</f>
        <v/>
      </c>
      <c r="D166" s="241" t="str">
        <f>IFERROR(VLOOKUP($B166,'Institution Evaluation'!$A$55:$F$345,3,0),IFERROR(VLOOKUP($B166,'Privacy Analyst Evaluation'!$A$46:$F$120,3,0),""))&amp;""</f>
        <v/>
      </c>
      <c r="E166" s="241" t="str">
        <f>IFERROR(VLOOKUP($B166,'Institution Evaluation'!$A$55:$F$345,4,0),IFERROR(VLOOKUP($B166,'Privacy Analyst Evaluation'!$A$46:$F$120,4,0),""))&amp;""</f>
        <v/>
      </c>
      <c r="F166" s="241" t="str">
        <f>IFERROR(VLOOKUP($B166,'Institution Evaluation'!$A$55:$F$345,6,0),IFERROR(VLOOKUP($B166,'Privacy Analyst Evaluation'!$A$46:$F$120,6,0),""))&amp;""</f>
        <v/>
      </c>
      <c r="G166" s="242"/>
      <c r="H166" s="241" t="str">
        <f>IFERROR(IF($H165+1&gt;'(backend scoring)'!$Q$335,"",$H165+1),"")</f>
        <v/>
      </c>
      <c r="I166" s="241" t="str">
        <f>_xlfn.XLOOKUP($H166,'(backend scoring)'!$S$2:$S$333,'(backend scoring)'!$A$2:$A$333,"")</f>
        <v/>
      </c>
      <c r="J166" s="241" t="str">
        <f>IFERROR(VLOOKUP($I166,'Institution Evaluation'!$A$55:$F$345,2,0),IFERROR(VLOOKUP($I166,'Privacy Analyst Evaluation'!$A$46:$F$120,2,0),""))</f>
        <v/>
      </c>
      <c r="K166" s="241" t="str">
        <f>IFERROR(VLOOKUP($I166,'Institution Evaluation'!$A$55:$F$345,3,0),IFERROR(VLOOKUP($I166,'Privacy Analyst Evaluation'!$A$46:$F$120,3,0),""))&amp;""</f>
        <v/>
      </c>
      <c r="L166" s="241" t="str">
        <f>IFERROR(VLOOKUP($I166,'Institution Evaluation'!$A$55:$F$345,4,0),IFERROR(VLOOKUP($I166,'Privacy Analyst Evaluation'!$A$46:$F$120,4,0),""))&amp;""</f>
        <v/>
      </c>
      <c r="M166" s="241" t="str">
        <f>IFERROR(VLOOKUP($I166,'Institution Evaluation'!$A$55:$F$345,6,0),IFERROR(VLOOKUP($I166,'Privacy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ht="17" x14ac:dyDescent="0.2">
      <c r="A167" s="241" t="str">
        <f>IFERROR(IF($A166+1&gt;'(backend scoring)'!$T$335,"",$A166+1),"")</f>
        <v/>
      </c>
      <c r="B167" s="241" t="str">
        <f>_xlfn.XLOOKUP($A167,'(backend scoring)'!$V$2:$V$333,'(backend scoring)'!$A$2:$A$333,"")</f>
        <v/>
      </c>
      <c r="C167" s="241" t="str">
        <f>IFERROR(VLOOKUP($B167,'Institution Evaluation'!$A$55:$F$345,2,0),IFERROR(VLOOKUP($B167,'Privacy Analyst Evaluation'!$A$46:$F$120,2,0),""))&amp;""</f>
        <v/>
      </c>
      <c r="D167" s="241" t="str">
        <f>IFERROR(VLOOKUP($B167,'Institution Evaluation'!$A$55:$F$345,3,0),IFERROR(VLOOKUP($B167,'Privacy Analyst Evaluation'!$A$46:$F$120,3,0),""))&amp;""</f>
        <v/>
      </c>
      <c r="E167" s="241" t="str">
        <f>IFERROR(VLOOKUP($B167,'Institution Evaluation'!$A$55:$F$345,4,0),IFERROR(VLOOKUP($B167,'Privacy Analyst Evaluation'!$A$46:$F$120,4,0),""))&amp;""</f>
        <v/>
      </c>
      <c r="F167" s="241" t="str">
        <f>IFERROR(VLOOKUP($B167,'Institution Evaluation'!$A$55:$F$345,6,0),IFERROR(VLOOKUP($B167,'Privacy Analyst Evaluation'!$A$46:$F$120,6,0),""))&amp;""</f>
        <v/>
      </c>
      <c r="G167" s="242"/>
      <c r="H167" s="241" t="str">
        <f>IFERROR(IF($H166+1&gt;'(backend scoring)'!$Q$335,"",$H166+1),"")</f>
        <v/>
      </c>
      <c r="I167" s="241" t="str">
        <f>_xlfn.XLOOKUP($H167,'(backend scoring)'!$S$2:$S$333,'(backend scoring)'!$A$2:$A$333,"")</f>
        <v/>
      </c>
      <c r="J167" s="241" t="str">
        <f>IFERROR(VLOOKUP($I167,'Institution Evaluation'!$A$55:$F$345,2,0),IFERROR(VLOOKUP($I167,'Privacy Analyst Evaluation'!$A$46:$F$120,2,0),""))</f>
        <v/>
      </c>
      <c r="K167" s="241" t="str">
        <f>IFERROR(VLOOKUP($I167,'Institution Evaluation'!$A$55:$F$345,3,0),IFERROR(VLOOKUP($I167,'Privacy Analyst Evaluation'!$A$46:$F$120,3,0),""))&amp;""</f>
        <v/>
      </c>
      <c r="L167" s="241" t="str">
        <f>IFERROR(VLOOKUP($I167,'Institution Evaluation'!$A$55:$F$345,4,0),IFERROR(VLOOKUP($I167,'Privacy Analyst Evaluation'!$A$46:$F$120,4,0),""))&amp;""</f>
        <v/>
      </c>
      <c r="M167" s="241" t="str">
        <f>IFERROR(VLOOKUP($I167,'Institution Evaluation'!$A$55:$F$345,6,0),IFERROR(VLOOKUP($I167,'Privacy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ht="17" x14ac:dyDescent="0.2">
      <c r="A168" s="241" t="str">
        <f>IFERROR(IF($A167+1&gt;'(backend scoring)'!$T$335,"",$A167+1),"")</f>
        <v/>
      </c>
      <c r="B168" s="241" t="str">
        <f>_xlfn.XLOOKUP($A168,'(backend scoring)'!$V$2:$V$333,'(backend scoring)'!$A$2:$A$333,"")</f>
        <v/>
      </c>
      <c r="C168" s="241" t="str">
        <f>IFERROR(VLOOKUP($B168,'Institution Evaluation'!$A$55:$F$345,2,0),IFERROR(VLOOKUP($B168,'Privacy Analyst Evaluation'!$A$46:$F$120,2,0),""))&amp;""</f>
        <v/>
      </c>
      <c r="D168" s="241" t="str">
        <f>IFERROR(VLOOKUP($B168,'Institution Evaluation'!$A$55:$F$345,3,0),IFERROR(VLOOKUP($B168,'Privacy Analyst Evaluation'!$A$46:$F$120,3,0),""))&amp;""</f>
        <v/>
      </c>
      <c r="E168" s="241" t="str">
        <f>IFERROR(VLOOKUP($B168,'Institution Evaluation'!$A$55:$F$345,4,0),IFERROR(VLOOKUP($B168,'Privacy Analyst Evaluation'!$A$46:$F$120,4,0),""))&amp;""</f>
        <v/>
      </c>
      <c r="F168" s="241" t="str">
        <f>IFERROR(VLOOKUP($B168,'Institution Evaluation'!$A$55:$F$345,6,0),IFERROR(VLOOKUP($B168,'Privacy Analyst Evaluation'!$A$46:$F$120,6,0),""))&amp;""</f>
        <v/>
      </c>
      <c r="G168" s="242"/>
      <c r="H168" s="241" t="str">
        <f>IFERROR(IF($H167+1&gt;'(backend scoring)'!$Q$335,"",$H167+1),"")</f>
        <v/>
      </c>
      <c r="I168" s="241" t="str">
        <f>_xlfn.XLOOKUP($H168,'(backend scoring)'!$S$2:$S$333,'(backend scoring)'!$A$2:$A$333,"")</f>
        <v/>
      </c>
      <c r="J168" s="241" t="str">
        <f>IFERROR(VLOOKUP($I168,'Institution Evaluation'!$A$55:$F$345,2,0),IFERROR(VLOOKUP($I168,'Privacy Analyst Evaluation'!$A$46:$F$120,2,0),""))</f>
        <v/>
      </c>
      <c r="K168" s="241" t="str">
        <f>IFERROR(VLOOKUP($I168,'Institution Evaluation'!$A$55:$F$345,3,0),IFERROR(VLOOKUP($I168,'Privacy Analyst Evaluation'!$A$46:$F$120,3,0),""))&amp;""</f>
        <v/>
      </c>
      <c r="L168" s="241" t="str">
        <f>IFERROR(VLOOKUP($I168,'Institution Evaluation'!$A$55:$F$345,4,0),IFERROR(VLOOKUP($I168,'Privacy Analyst Evaluation'!$A$46:$F$120,4,0),""))&amp;""</f>
        <v/>
      </c>
      <c r="M168" s="241" t="str">
        <f>IFERROR(VLOOKUP($I168,'Institution Evaluation'!$A$55:$F$345,6,0),IFERROR(VLOOKUP($I168,'Privacy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ht="17" x14ac:dyDescent="0.2">
      <c r="A169" s="241" t="str">
        <f>IFERROR(IF($A168+1&gt;'(backend scoring)'!$T$335,"",$A168+1),"")</f>
        <v/>
      </c>
      <c r="B169" s="241" t="str">
        <f>_xlfn.XLOOKUP($A169,'(backend scoring)'!$V$2:$V$333,'(backend scoring)'!$A$2:$A$333,"")</f>
        <v/>
      </c>
      <c r="C169" s="241" t="str">
        <f>IFERROR(VLOOKUP($B169,'Institution Evaluation'!$A$55:$F$345,2,0),IFERROR(VLOOKUP($B169,'Privacy Analyst Evaluation'!$A$46:$F$120,2,0),""))&amp;""</f>
        <v/>
      </c>
      <c r="D169" s="241" t="str">
        <f>IFERROR(VLOOKUP($B169,'Institution Evaluation'!$A$55:$F$345,3,0),IFERROR(VLOOKUP($B169,'Privacy Analyst Evaluation'!$A$46:$F$120,3,0),""))&amp;""</f>
        <v/>
      </c>
      <c r="E169" s="241" t="str">
        <f>IFERROR(VLOOKUP($B169,'Institution Evaluation'!$A$55:$F$345,4,0),IFERROR(VLOOKUP($B169,'Privacy Analyst Evaluation'!$A$46:$F$120,4,0),""))&amp;""</f>
        <v/>
      </c>
      <c r="F169" s="241" t="str">
        <f>IFERROR(VLOOKUP($B169,'Institution Evaluation'!$A$55:$F$345,6,0),IFERROR(VLOOKUP($B169,'Privacy Analyst Evaluation'!$A$46:$F$120,6,0),""))&amp;""</f>
        <v/>
      </c>
      <c r="G169" s="242"/>
      <c r="H169" s="241" t="str">
        <f>IFERROR(IF($H168+1&gt;'(backend scoring)'!$Q$335,"",$H168+1),"")</f>
        <v/>
      </c>
      <c r="I169" s="241" t="str">
        <f>_xlfn.XLOOKUP($H169,'(backend scoring)'!$S$2:$S$333,'(backend scoring)'!$A$2:$A$333,"")</f>
        <v/>
      </c>
      <c r="J169" s="241" t="str">
        <f>IFERROR(VLOOKUP($I169,'Institution Evaluation'!$A$55:$F$345,2,0),IFERROR(VLOOKUP($I169,'Privacy Analyst Evaluation'!$A$46:$F$120,2,0),""))</f>
        <v/>
      </c>
      <c r="K169" s="241" t="str">
        <f>IFERROR(VLOOKUP($I169,'Institution Evaluation'!$A$55:$F$345,3,0),IFERROR(VLOOKUP($I169,'Privacy Analyst Evaluation'!$A$46:$F$120,3,0),""))&amp;""</f>
        <v/>
      </c>
      <c r="L169" s="241" t="str">
        <f>IFERROR(VLOOKUP($I169,'Institution Evaluation'!$A$55:$F$345,4,0),IFERROR(VLOOKUP($I169,'Privacy Analyst Evaluation'!$A$46:$F$120,4,0),""))&amp;""</f>
        <v/>
      </c>
      <c r="M169" s="241" t="str">
        <f>IFERROR(VLOOKUP($I169,'Institution Evaluation'!$A$55:$F$345,6,0),IFERROR(VLOOKUP($I169,'Privacy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ht="17" x14ac:dyDescent="0.2">
      <c r="A170" s="241" t="str">
        <f>IFERROR(IF($A169+1&gt;'(backend scoring)'!$T$335,"",$A169+1),"")</f>
        <v/>
      </c>
      <c r="B170" s="241" t="str">
        <f>_xlfn.XLOOKUP($A170,'(backend scoring)'!$V$2:$V$333,'(backend scoring)'!$A$2:$A$333,"")</f>
        <v/>
      </c>
      <c r="C170" s="241" t="str">
        <f>IFERROR(VLOOKUP($B170,'Institution Evaluation'!$A$55:$F$345,2,0),IFERROR(VLOOKUP($B170,'Privacy Analyst Evaluation'!$A$46:$F$120,2,0),""))&amp;""</f>
        <v/>
      </c>
      <c r="D170" s="241" t="str">
        <f>IFERROR(VLOOKUP($B170,'Institution Evaluation'!$A$55:$F$345,3,0),IFERROR(VLOOKUP($B170,'Privacy Analyst Evaluation'!$A$46:$F$120,3,0),""))&amp;""</f>
        <v/>
      </c>
      <c r="E170" s="241" t="str">
        <f>IFERROR(VLOOKUP($B170,'Institution Evaluation'!$A$55:$F$345,4,0),IFERROR(VLOOKUP($B170,'Privacy Analyst Evaluation'!$A$46:$F$120,4,0),""))&amp;""</f>
        <v/>
      </c>
      <c r="F170" s="241" t="str">
        <f>IFERROR(VLOOKUP($B170,'Institution Evaluation'!$A$55:$F$345,6,0),IFERROR(VLOOKUP($B170,'Privacy Analyst Evaluation'!$A$46:$F$120,6,0),""))&amp;""</f>
        <v/>
      </c>
      <c r="G170" s="242"/>
      <c r="H170" s="241" t="str">
        <f>IFERROR(IF($H169+1&gt;'(backend scoring)'!$Q$335,"",$H169+1),"")</f>
        <v/>
      </c>
      <c r="I170" s="241" t="str">
        <f>_xlfn.XLOOKUP($H170,'(backend scoring)'!$S$2:$S$333,'(backend scoring)'!$A$2:$A$333,"")</f>
        <v/>
      </c>
      <c r="J170" s="241" t="str">
        <f>IFERROR(VLOOKUP($I170,'Institution Evaluation'!$A$55:$F$345,2,0),IFERROR(VLOOKUP($I170,'Privacy Analyst Evaluation'!$A$46:$F$120,2,0),""))</f>
        <v/>
      </c>
      <c r="K170" s="241" t="str">
        <f>IFERROR(VLOOKUP($I170,'Institution Evaluation'!$A$55:$F$345,3,0),IFERROR(VLOOKUP($I170,'Privacy Analyst Evaluation'!$A$46:$F$120,3,0),""))&amp;""</f>
        <v/>
      </c>
      <c r="L170" s="241" t="str">
        <f>IFERROR(VLOOKUP($I170,'Institution Evaluation'!$A$55:$F$345,4,0),IFERROR(VLOOKUP($I170,'Privacy Analyst Evaluation'!$A$46:$F$120,4,0),""))&amp;""</f>
        <v/>
      </c>
      <c r="M170" s="241" t="str">
        <f>IFERROR(VLOOKUP($I170,'Institution Evaluation'!$A$55:$F$345,6,0),IFERROR(VLOOKUP($I170,'Privacy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ht="17" x14ac:dyDescent="0.2">
      <c r="A171" s="241" t="str">
        <f>IFERROR(IF($A170+1&gt;'(backend scoring)'!$T$335,"",$A170+1),"")</f>
        <v/>
      </c>
      <c r="B171" s="241" t="str">
        <f>_xlfn.XLOOKUP($A171,'(backend scoring)'!$V$2:$V$333,'(backend scoring)'!$A$2:$A$333,"")</f>
        <v/>
      </c>
      <c r="C171" s="241" t="str">
        <f>IFERROR(VLOOKUP($B171,'Institution Evaluation'!$A$55:$F$345,2,0),IFERROR(VLOOKUP($B171,'Privacy Analyst Evaluation'!$A$46:$F$120,2,0),""))&amp;""</f>
        <v/>
      </c>
      <c r="D171" s="241" t="str">
        <f>IFERROR(VLOOKUP($B171,'Institution Evaluation'!$A$55:$F$345,3,0),IFERROR(VLOOKUP($B171,'Privacy Analyst Evaluation'!$A$46:$F$120,3,0),""))&amp;""</f>
        <v/>
      </c>
      <c r="E171" s="241" t="str">
        <f>IFERROR(VLOOKUP($B171,'Institution Evaluation'!$A$55:$F$345,4,0),IFERROR(VLOOKUP($B171,'Privacy Analyst Evaluation'!$A$46:$F$120,4,0),""))&amp;""</f>
        <v/>
      </c>
      <c r="F171" s="241" t="str">
        <f>IFERROR(VLOOKUP($B171,'Institution Evaluation'!$A$55:$F$345,6,0),IFERROR(VLOOKUP($B171,'Privacy Analyst Evaluation'!$A$46:$F$120,6,0),""))&amp;""</f>
        <v/>
      </c>
      <c r="G171" s="242"/>
      <c r="H171" s="241" t="str">
        <f>IFERROR(IF($H170+1&gt;'(backend scoring)'!$Q$335,"",$H170+1),"")</f>
        <v/>
      </c>
      <c r="I171" s="241" t="str">
        <f>_xlfn.XLOOKUP($H171,'(backend scoring)'!$S$2:$S$333,'(backend scoring)'!$A$2:$A$333,"")</f>
        <v/>
      </c>
      <c r="J171" s="241" t="str">
        <f>IFERROR(VLOOKUP($I171,'Institution Evaluation'!$A$55:$F$345,2,0),IFERROR(VLOOKUP($I171,'Privacy Analyst Evaluation'!$A$46:$F$120,2,0),""))</f>
        <v/>
      </c>
      <c r="K171" s="241" t="str">
        <f>IFERROR(VLOOKUP($I171,'Institution Evaluation'!$A$55:$F$345,3,0),IFERROR(VLOOKUP($I171,'Privacy Analyst Evaluation'!$A$46:$F$120,3,0),""))&amp;""</f>
        <v/>
      </c>
      <c r="L171" s="241" t="str">
        <f>IFERROR(VLOOKUP($I171,'Institution Evaluation'!$A$55:$F$345,4,0),IFERROR(VLOOKUP($I171,'Privacy Analyst Evaluation'!$A$46:$F$120,4,0),""))&amp;""</f>
        <v/>
      </c>
      <c r="M171" s="241" t="str">
        <f>IFERROR(VLOOKUP($I171,'Institution Evaluation'!$A$55:$F$345,6,0),IFERROR(VLOOKUP($I171,'Privacy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ht="17" x14ac:dyDescent="0.2">
      <c r="A172" s="241" t="str">
        <f>IFERROR(IF($A171+1&gt;'(backend scoring)'!$T$335,"",$A171+1),"")</f>
        <v/>
      </c>
      <c r="B172" s="241" t="str">
        <f>_xlfn.XLOOKUP($A172,'(backend scoring)'!$V$2:$V$333,'(backend scoring)'!$A$2:$A$333,"")</f>
        <v/>
      </c>
      <c r="C172" s="241" t="str">
        <f>IFERROR(VLOOKUP($B172,'Institution Evaluation'!$A$55:$F$345,2,0),IFERROR(VLOOKUP($B172,'Privacy Analyst Evaluation'!$A$46:$F$120,2,0),""))&amp;""</f>
        <v/>
      </c>
      <c r="D172" s="241" t="str">
        <f>IFERROR(VLOOKUP($B172,'Institution Evaluation'!$A$55:$F$345,3,0),IFERROR(VLOOKUP($B172,'Privacy Analyst Evaluation'!$A$46:$F$120,3,0),""))&amp;""</f>
        <v/>
      </c>
      <c r="E172" s="241" t="str">
        <f>IFERROR(VLOOKUP($B172,'Institution Evaluation'!$A$55:$F$345,4,0),IFERROR(VLOOKUP($B172,'Privacy Analyst Evaluation'!$A$46:$F$120,4,0),""))&amp;""</f>
        <v/>
      </c>
      <c r="F172" s="241" t="str">
        <f>IFERROR(VLOOKUP($B172,'Institution Evaluation'!$A$55:$F$345,6,0),IFERROR(VLOOKUP($B172,'Privacy Analyst Evaluation'!$A$46:$F$120,6,0),""))&amp;""</f>
        <v/>
      </c>
      <c r="G172" s="242"/>
      <c r="H172" s="241" t="str">
        <f>IFERROR(IF($H171+1&gt;'(backend scoring)'!$Q$335,"",$H171+1),"")</f>
        <v/>
      </c>
      <c r="I172" s="241" t="str">
        <f>_xlfn.XLOOKUP($H172,'(backend scoring)'!$S$2:$S$333,'(backend scoring)'!$A$2:$A$333,"")</f>
        <v/>
      </c>
      <c r="J172" s="241" t="str">
        <f>IFERROR(VLOOKUP($I172,'Institution Evaluation'!$A$55:$F$345,2,0),IFERROR(VLOOKUP($I172,'Privacy Analyst Evaluation'!$A$46:$F$120,2,0),""))</f>
        <v/>
      </c>
      <c r="K172" s="241" t="str">
        <f>IFERROR(VLOOKUP($I172,'Institution Evaluation'!$A$55:$F$345,3,0),IFERROR(VLOOKUP($I172,'Privacy Analyst Evaluation'!$A$46:$F$120,3,0),""))&amp;""</f>
        <v/>
      </c>
      <c r="L172" s="241" t="str">
        <f>IFERROR(VLOOKUP($I172,'Institution Evaluation'!$A$55:$F$345,4,0),IFERROR(VLOOKUP($I172,'Privacy Analyst Evaluation'!$A$46:$F$120,4,0),""))&amp;""</f>
        <v/>
      </c>
      <c r="M172" s="241" t="str">
        <f>IFERROR(VLOOKUP($I172,'Institution Evaluation'!$A$55:$F$345,6,0),IFERROR(VLOOKUP($I172,'Privacy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ht="17" x14ac:dyDescent="0.2">
      <c r="A173" s="241" t="str">
        <f>IFERROR(IF($A172+1&gt;'(backend scoring)'!$T$335,"",$A172+1),"")</f>
        <v/>
      </c>
      <c r="B173" s="241" t="str">
        <f>_xlfn.XLOOKUP($A173,'(backend scoring)'!$V$2:$V$333,'(backend scoring)'!$A$2:$A$333,"")</f>
        <v/>
      </c>
      <c r="C173" s="241" t="str">
        <f>IFERROR(VLOOKUP($B173,'Institution Evaluation'!$A$55:$F$345,2,0),IFERROR(VLOOKUP($B173,'Privacy Analyst Evaluation'!$A$46:$F$120,2,0),""))&amp;""</f>
        <v/>
      </c>
      <c r="D173" s="241" t="str">
        <f>IFERROR(VLOOKUP($B173,'Institution Evaluation'!$A$55:$F$345,3,0),IFERROR(VLOOKUP($B173,'Privacy Analyst Evaluation'!$A$46:$F$120,3,0),""))&amp;""</f>
        <v/>
      </c>
      <c r="E173" s="241" t="str">
        <f>IFERROR(VLOOKUP($B173,'Institution Evaluation'!$A$55:$F$345,4,0),IFERROR(VLOOKUP($B173,'Privacy Analyst Evaluation'!$A$46:$F$120,4,0),""))&amp;""</f>
        <v/>
      </c>
      <c r="F173" s="241" t="str">
        <f>IFERROR(VLOOKUP($B173,'Institution Evaluation'!$A$55:$F$345,6,0),IFERROR(VLOOKUP($B173,'Privacy Analyst Evaluation'!$A$46:$F$120,6,0),""))&amp;""</f>
        <v/>
      </c>
      <c r="G173" s="242"/>
      <c r="H173" s="241" t="str">
        <f>IFERROR(IF($H172+1&gt;'(backend scoring)'!$Q$335,"",$H172+1),"")</f>
        <v/>
      </c>
      <c r="I173" s="241" t="str">
        <f>_xlfn.XLOOKUP($H173,'(backend scoring)'!$S$2:$S$333,'(backend scoring)'!$A$2:$A$333,"")</f>
        <v/>
      </c>
      <c r="J173" s="241" t="str">
        <f>IFERROR(VLOOKUP($I173,'Institution Evaluation'!$A$55:$F$345,2,0),IFERROR(VLOOKUP($I173,'Privacy Analyst Evaluation'!$A$46:$F$120,2,0),""))</f>
        <v/>
      </c>
      <c r="K173" s="241" t="str">
        <f>IFERROR(VLOOKUP($I173,'Institution Evaluation'!$A$55:$F$345,3,0),IFERROR(VLOOKUP($I173,'Privacy Analyst Evaluation'!$A$46:$F$120,3,0),""))&amp;""</f>
        <v/>
      </c>
      <c r="L173" s="241" t="str">
        <f>IFERROR(VLOOKUP($I173,'Institution Evaluation'!$A$55:$F$345,4,0),IFERROR(VLOOKUP($I173,'Privacy Analyst Evaluation'!$A$46:$F$120,4,0),""))&amp;""</f>
        <v/>
      </c>
      <c r="M173" s="241" t="str">
        <f>IFERROR(VLOOKUP($I173,'Institution Evaluation'!$A$55:$F$345,6,0),IFERROR(VLOOKUP($I173,'Privacy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ht="17" x14ac:dyDescent="0.2">
      <c r="A174" s="241" t="str">
        <f>IFERROR(IF($A173+1&gt;'(backend scoring)'!$T$335,"",$A173+1),"")</f>
        <v/>
      </c>
      <c r="B174" s="241" t="str">
        <f>_xlfn.XLOOKUP($A174,'(backend scoring)'!$V$2:$V$333,'(backend scoring)'!$A$2:$A$333,"")</f>
        <v/>
      </c>
      <c r="C174" s="241" t="str">
        <f>IFERROR(VLOOKUP($B174,'Institution Evaluation'!$A$55:$F$345,2,0),IFERROR(VLOOKUP($B174,'Privacy Analyst Evaluation'!$A$46:$F$120,2,0),""))&amp;""</f>
        <v/>
      </c>
      <c r="D174" s="241" t="str">
        <f>IFERROR(VLOOKUP($B174,'Institution Evaluation'!$A$55:$F$345,3,0),IFERROR(VLOOKUP($B174,'Privacy Analyst Evaluation'!$A$46:$F$120,3,0),""))&amp;""</f>
        <v/>
      </c>
      <c r="E174" s="241" t="str">
        <f>IFERROR(VLOOKUP($B174,'Institution Evaluation'!$A$55:$F$345,4,0),IFERROR(VLOOKUP($B174,'Privacy Analyst Evaluation'!$A$46:$F$120,4,0),""))&amp;""</f>
        <v/>
      </c>
      <c r="F174" s="241" t="str">
        <f>IFERROR(VLOOKUP($B174,'Institution Evaluation'!$A$55:$F$345,6,0),IFERROR(VLOOKUP($B174,'Privacy Analyst Evaluation'!$A$46:$F$120,6,0),""))&amp;""</f>
        <v/>
      </c>
      <c r="G174" s="242"/>
      <c r="H174" s="241" t="str">
        <f>IFERROR(IF($H173+1&gt;'(backend scoring)'!$Q$335,"",$H173+1),"")</f>
        <v/>
      </c>
      <c r="I174" s="241" t="str">
        <f>_xlfn.XLOOKUP($H174,'(backend scoring)'!$S$2:$S$333,'(backend scoring)'!$A$2:$A$333,"")</f>
        <v/>
      </c>
      <c r="J174" s="241" t="str">
        <f>IFERROR(VLOOKUP($I174,'Institution Evaluation'!$A$55:$F$345,2,0),IFERROR(VLOOKUP($I174,'Privacy Analyst Evaluation'!$A$46:$F$120,2,0),""))</f>
        <v/>
      </c>
      <c r="K174" s="241" t="str">
        <f>IFERROR(VLOOKUP($I174,'Institution Evaluation'!$A$55:$F$345,3,0),IFERROR(VLOOKUP($I174,'Privacy Analyst Evaluation'!$A$46:$F$120,3,0),""))&amp;""</f>
        <v/>
      </c>
      <c r="L174" s="241" t="str">
        <f>IFERROR(VLOOKUP($I174,'Institution Evaluation'!$A$55:$F$345,4,0),IFERROR(VLOOKUP($I174,'Privacy Analyst Evaluation'!$A$46:$F$120,4,0),""))&amp;""</f>
        <v/>
      </c>
      <c r="M174" s="241" t="str">
        <f>IFERROR(VLOOKUP($I174,'Institution Evaluation'!$A$55:$F$345,6,0),IFERROR(VLOOKUP($I174,'Privacy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ht="17" x14ac:dyDescent="0.2">
      <c r="A175" s="241" t="str">
        <f>IFERROR(IF($A174+1&gt;'(backend scoring)'!$T$335,"",$A174+1),"")</f>
        <v/>
      </c>
      <c r="B175" s="241" t="str">
        <f>_xlfn.XLOOKUP($A175,'(backend scoring)'!$V$2:$V$333,'(backend scoring)'!$A$2:$A$333,"")</f>
        <v/>
      </c>
      <c r="C175" s="241" t="str">
        <f>IFERROR(VLOOKUP($B175,'Institution Evaluation'!$A$55:$F$345,2,0),IFERROR(VLOOKUP($B175,'Privacy Analyst Evaluation'!$A$46:$F$120,2,0),""))&amp;""</f>
        <v/>
      </c>
      <c r="D175" s="241" t="str">
        <f>IFERROR(VLOOKUP($B175,'Institution Evaluation'!$A$55:$F$345,3,0),IFERROR(VLOOKUP($B175,'Privacy Analyst Evaluation'!$A$46:$F$120,3,0),""))&amp;""</f>
        <v/>
      </c>
      <c r="E175" s="241" t="str">
        <f>IFERROR(VLOOKUP($B175,'Institution Evaluation'!$A$55:$F$345,4,0),IFERROR(VLOOKUP($B175,'Privacy Analyst Evaluation'!$A$46:$F$120,4,0),""))&amp;""</f>
        <v/>
      </c>
      <c r="F175" s="241" t="str">
        <f>IFERROR(VLOOKUP($B175,'Institution Evaluation'!$A$55:$F$345,6,0),IFERROR(VLOOKUP($B175,'Privacy Analyst Evaluation'!$A$46:$F$120,6,0),""))&amp;""</f>
        <v/>
      </c>
      <c r="G175" s="242"/>
      <c r="H175" s="241" t="str">
        <f>IFERROR(IF($H174+1&gt;'(backend scoring)'!$Q$335,"",$H174+1),"")</f>
        <v/>
      </c>
      <c r="I175" s="241" t="str">
        <f>_xlfn.XLOOKUP($H175,'(backend scoring)'!$S$2:$S$333,'(backend scoring)'!$A$2:$A$333,"")</f>
        <v/>
      </c>
      <c r="J175" s="241" t="str">
        <f>IFERROR(VLOOKUP($I175,'Institution Evaluation'!$A$55:$F$345,2,0),IFERROR(VLOOKUP($I175,'Privacy Analyst Evaluation'!$A$46:$F$120,2,0),""))</f>
        <v/>
      </c>
      <c r="K175" s="241" t="str">
        <f>IFERROR(VLOOKUP($I175,'Institution Evaluation'!$A$55:$F$345,3,0),IFERROR(VLOOKUP($I175,'Privacy Analyst Evaluation'!$A$46:$F$120,3,0),""))&amp;""</f>
        <v/>
      </c>
      <c r="L175" s="241" t="str">
        <f>IFERROR(VLOOKUP($I175,'Institution Evaluation'!$A$55:$F$345,4,0),IFERROR(VLOOKUP($I175,'Privacy Analyst Evaluation'!$A$46:$F$120,4,0),""))&amp;""</f>
        <v/>
      </c>
      <c r="M175" s="241" t="str">
        <f>IFERROR(VLOOKUP($I175,'Institution Evaluation'!$A$55:$F$345,6,0),IFERROR(VLOOKUP($I175,'Privacy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ht="17" x14ac:dyDescent="0.2">
      <c r="A176" s="241" t="str">
        <f>IFERROR(IF($A175+1&gt;'(backend scoring)'!$T$335,"",$A175+1),"")</f>
        <v/>
      </c>
      <c r="B176" s="241" t="str">
        <f>_xlfn.XLOOKUP($A176,'(backend scoring)'!$V$2:$V$333,'(backend scoring)'!$A$2:$A$333,"")</f>
        <v/>
      </c>
      <c r="C176" s="241" t="str">
        <f>IFERROR(VLOOKUP($B176,'Institution Evaluation'!$A$55:$F$345,2,0),IFERROR(VLOOKUP($B176,'Privacy Analyst Evaluation'!$A$46:$F$120,2,0),""))&amp;""</f>
        <v/>
      </c>
      <c r="D176" s="241" t="str">
        <f>IFERROR(VLOOKUP($B176,'Institution Evaluation'!$A$55:$F$345,3,0),IFERROR(VLOOKUP($B176,'Privacy Analyst Evaluation'!$A$46:$F$120,3,0),""))&amp;""</f>
        <v/>
      </c>
      <c r="E176" s="241" t="str">
        <f>IFERROR(VLOOKUP($B176,'Institution Evaluation'!$A$55:$F$345,4,0),IFERROR(VLOOKUP($B176,'Privacy Analyst Evaluation'!$A$46:$F$120,4,0),""))&amp;""</f>
        <v/>
      </c>
      <c r="F176" s="241" t="str">
        <f>IFERROR(VLOOKUP($B176,'Institution Evaluation'!$A$55:$F$345,6,0),IFERROR(VLOOKUP($B176,'Privacy Analyst Evaluation'!$A$46:$F$120,6,0),""))&amp;""</f>
        <v/>
      </c>
      <c r="G176" s="242"/>
      <c r="H176" s="241" t="str">
        <f>IFERROR(IF($H175+1&gt;'(backend scoring)'!$Q$335,"",$H175+1),"")</f>
        <v/>
      </c>
      <c r="I176" s="241" t="str">
        <f>_xlfn.XLOOKUP($H176,'(backend scoring)'!$S$2:$S$333,'(backend scoring)'!$A$2:$A$333,"")</f>
        <v/>
      </c>
      <c r="J176" s="241" t="str">
        <f>IFERROR(VLOOKUP($I176,'Institution Evaluation'!$A$55:$F$345,2,0),IFERROR(VLOOKUP($I176,'Privacy Analyst Evaluation'!$A$46:$F$120,2,0),""))</f>
        <v/>
      </c>
      <c r="K176" s="241" t="str">
        <f>IFERROR(VLOOKUP($I176,'Institution Evaluation'!$A$55:$F$345,3,0),IFERROR(VLOOKUP($I176,'Privacy Analyst Evaluation'!$A$46:$F$120,3,0),""))&amp;""</f>
        <v/>
      </c>
      <c r="L176" s="241" t="str">
        <f>IFERROR(VLOOKUP($I176,'Institution Evaluation'!$A$55:$F$345,4,0),IFERROR(VLOOKUP($I176,'Privacy Analyst Evaluation'!$A$46:$F$120,4,0),""))&amp;""</f>
        <v/>
      </c>
      <c r="M176" s="241" t="str">
        <f>IFERROR(VLOOKUP($I176,'Institution Evaluation'!$A$55:$F$345,6,0),IFERROR(VLOOKUP($I176,'Privacy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ht="17" x14ac:dyDescent="0.2">
      <c r="A177" s="241" t="str">
        <f>IFERROR(IF($A176+1&gt;'(backend scoring)'!$T$335,"",$A176+1),"")</f>
        <v/>
      </c>
      <c r="B177" s="241" t="str">
        <f>_xlfn.XLOOKUP($A177,'(backend scoring)'!$V$2:$V$333,'(backend scoring)'!$A$2:$A$333,"")</f>
        <v/>
      </c>
      <c r="C177" s="241" t="str">
        <f>IFERROR(VLOOKUP($B177,'Institution Evaluation'!$A$55:$F$345,2,0),IFERROR(VLOOKUP($B177,'Privacy Analyst Evaluation'!$A$46:$F$120,2,0),""))&amp;""</f>
        <v/>
      </c>
      <c r="D177" s="241" t="str">
        <f>IFERROR(VLOOKUP($B177,'Institution Evaluation'!$A$55:$F$345,3,0),IFERROR(VLOOKUP($B177,'Privacy Analyst Evaluation'!$A$46:$F$120,3,0),""))&amp;""</f>
        <v/>
      </c>
      <c r="E177" s="241" t="str">
        <f>IFERROR(VLOOKUP($B177,'Institution Evaluation'!$A$55:$F$345,4,0),IFERROR(VLOOKUP($B177,'Privacy Analyst Evaluation'!$A$46:$F$120,4,0),""))&amp;""</f>
        <v/>
      </c>
      <c r="F177" s="241" t="str">
        <f>IFERROR(VLOOKUP($B177,'Institution Evaluation'!$A$55:$F$345,6,0),IFERROR(VLOOKUP($B177,'Privacy Analyst Evaluation'!$A$46:$F$120,6,0),""))&amp;""</f>
        <v/>
      </c>
      <c r="G177" s="242"/>
      <c r="H177" s="241" t="str">
        <f>IFERROR(IF($H176+1&gt;'(backend scoring)'!$Q$335,"",$H176+1),"")</f>
        <v/>
      </c>
      <c r="I177" s="241" t="str">
        <f>_xlfn.XLOOKUP($H177,'(backend scoring)'!$S$2:$S$333,'(backend scoring)'!$A$2:$A$333,"")</f>
        <v/>
      </c>
      <c r="J177" s="241" t="str">
        <f>IFERROR(VLOOKUP($I177,'Institution Evaluation'!$A$55:$F$345,2,0),IFERROR(VLOOKUP($I177,'Privacy Analyst Evaluation'!$A$46:$F$120,2,0),""))</f>
        <v/>
      </c>
      <c r="K177" s="241" t="str">
        <f>IFERROR(VLOOKUP($I177,'Institution Evaluation'!$A$55:$F$345,3,0),IFERROR(VLOOKUP($I177,'Privacy Analyst Evaluation'!$A$46:$F$120,3,0),""))&amp;""</f>
        <v/>
      </c>
      <c r="L177" s="241" t="str">
        <f>IFERROR(VLOOKUP($I177,'Institution Evaluation'!$A$55:$F$345,4,0),IFERROR(VLOOKUP($I177,'Privacy Analyst Evaluation'!$A$46:$F$120,4,0),""))&amp;""</f>
        <v/>
      </c>
      <c r="M177" s="241" t="str">
        <f>IFERROR(VLOOKUP($I177,'Institution Evaluation'!$A$55:$F$345,6,0),IFERROR(VLOOKUP($I177,'Privacy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ht="17" x14ac:dyDescent="0.2">
      <c r="A178" s="241" t="str">
        <f>IFERROR(IF($A177+1&gt;'(backend scoring)'!$T$335,"",$A177+1),"")</f>
        <v/>
      </c>
      <c r="B178" s="241" t="str">
        <f>_xlfn.XLOOKUP($A178,'(backend scoring)'!$V$2:$V$333,'(backend scoring)'!$A$2:$A$333,"")</f>
        <v/>
      </c>
      <c r="C178" s="241" t="str">
        <f>IFERROR(VLOOKUP($B178,'Institution Evaluation'!$A$55:$F$345,2,0),IFERROR(VLOOKUP($B178,'Privacy Analyst Evaluation'!$A$46:$F$120,2,0),""))&amp;""</f>
        <v/>
      </c>
      <c r="D178" s="241" t="str">
        <f>IFERROR(VLOOKUP($B178,'Institution Evaluation'!$A$55:$F$345,3,0),IFERROR(VLOOKUP($B178,'Privacy Analyst Evaluation'!$A$46:$F$120,3,0),""))&amp;""</f>
        <v/>
      </c>
      <c r="E178" s="241" t="str">
        <f>IFERROR(VLOOKUP($B178,'Institution Evaluation'!$A$55:$F$345,4,0),IFERROR(VLOOKUP($B178,'Privacy Analyst Evaluation'!$A$46:$F$120,4,0),""))&amp;""</f>
        <v/>
      </c>
      <c r="F178" s="241" t="str">
        <f>IFERROR(VLOOKUP($B178,'Institution Evaluation'!$A$55:$F$345,6,0),IFERROR(VLOOKUP($B178,'Privacy Analyst Evaluation'!$A$46:$F$120,6,0),""))&amp;""</f>
        <v/>
      </c>
      <c r="G178" s="242"/>
      <c r="H178" s="241" t="str">
        <f>IFERROR(IF($H177+1&gt;'(backend scoring)'!$Q$335,"",$H177+1),"")</f>
        <v/>
      </c>
      <c r="I178" s="241" t="str">
        <f>_xlfn.XLOOKUP($H178,'(backend scoring)'!$S$2:$S$333,'(backend scoring)'!$A$2:$A$333,"")</f>
        <v/>
      </c>
      <c r="J178" s="241" t="str">
        <f>IFERROR(VLOOKUP($I178,'Institution Evaluation'!$A$55:$F$345,2,0),IFERROR(VLOOKUP($I178,'Privacy Analyst Evaluation'!$A$46:$F$120,2,0),""))</f>
        <v/>
      </c>
      <c r="K178" s="241" t="str">
        <f>IFERROR(VLOOKUP($I178,'Institution Evaluation'!$A$55:$F$345,3,0),IFERROR(VLOOKUP($I178,'Privacy Analyst Evaluation'!$A$46:$F$120,3,0),""))&amp;""</f>
        <v/>
      </c>
      <c r="L178" s="241" t="str">
        <f>IFERROR(VLOOKUP($I178,'Institution Evaluation'!$A$55:$F$345,4,0),IFERROR(VLOOKUP($I178,'Privacy Analyst Evaluation'!$A$46:$F$120,4,0),""))&amp;""</f>
        <v/>
      </c>
      <c r="M178" s="241" t="str">
        <f>IFERROR(VLOOKUP($I178,'Institution Evaluation'!$A$55:$F$345,6,0),IFERROR(VLOOKUP($I178,'Privacy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ht="17" x14ac:dyDescent="0.2">
      <c r="A179" s="241" t="str">
        <f>IFERROR(IF($A178+1&gt;'(backend scoring)'!$T$335,"",$A178+1),"")</f>
        <v/>
      </c>
      <c r="B179" s="241" t="str">
        <f>_xlfn.XLOOKUP($A179,'(backend scoring)'!$V$2:$V$333,'(backend scoring)'!$A$2:$A$333,"")</f>
        <v/>
      </c>
      <c r="C179" s="241" t="str">
        <f>IFERROR(VLOOKUP($B179,'Institution Evaluation'!$A$55:$F$345,2,0),IFERROR(VLOOKUP($B179,'Privacy Analyst Evaluation'!$A$46:$F$120,2,0),""))&amp;""</f>
        <v/>
      </c>
      <c r="D179" s="241" t="str">
        <f>IFERROR(VLOOKUP($B179,'Institution Evaluation'!$A$55:$F$345,3,0),IFERROR(VLOOKUP($B179,'Privacy Analyst Evaluation'!$A$46:$F$120,3,0),""))&amp;""</f>
        <v/>
      </c>
      <c r="E179" s="241" t="str">
        <f>IFERROR(VLOOKUP($B179,'Institution Evaluation'!$A$55:$F$345,4,0),IFERROR(VLOOKUP($B179,'Privacy Analyst Evaluation'!$A$46:$F$120,4,0),""))&amp;""</f>
        <v/>
      </c>
      <c r="F179" s="241" t="str">
        <f>IFERROR(VLOOKUP($B179,'Institution Evaluation'!$A$55:$F$345,6,0),IFERROR(VLOOKUP($B179,'Privacy Analyst Evaluation'!$A$46:$F$120,6,0),""))&amp;""</f>
        <v/>
      </c>
      <c r="G179" s="242"/>
      <c r="H179" s="241" t="str">
        <f>IFERROR(IF($H178+1&gt;'(backend scoring)'!$Q$335,"",$H178+1),"")</f>
        <v/>
      </c>
      <c r="I179" s="241" t="str">
        <f>_xlfn.XLOOKUP($H179,'(backend scoring)'!$S$2:$S$333,'(backend scoring)'!$A$2:$A$333,"")</f>
        <v/>
      </c>
      <c r="J179" s="241" t="str">
        <f>IFERROR(VLOOKUP($I179,'Institution Evaluation'!$A$55:$F$345,2,0),IFERROR(VLOOKUP($I179,'Privacy Analyst Evaluation'!$A$46:$F$120,2,0),""))</f>
        <v/>
      </c>
      <c r="K179" s="241" t="str">
        <f>IFERROR(VLOOKUP($I179,'Institution Evaluation'!$A$55:$F$345,3,0),IFERROR(VLOOKUP($I179,'Privacy Analyst Evaluation'!$A$46:$F$120,3,0),""))&amp;""</f>
        <v/>
      </c>
      <c r="L179" s="241" t="str">
        <f>IFERROR(VLOOKUP($I179,'Institution Evaluation'!$A$55:$F$345,4,0),IFERROR(VLOOKUP($I179,'Privacy Analyst Evaluation'!$A$46:$F$120,4,0),""))&amp;""</f>
        <v/>
      </c>
      <c r="M179" s="241" t="str">
        <f>IFERROR(VLOOKUP($I179,'Institution Evaluation'!$A$55:$F$345,6,0),IFERROR(VLOOKUP($I179,'Privacy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ht="17" x14ac:dyDescent="0.2">
      <c r="A180" s="241" t="str">
        <f>IFERROR(IF($A179+1&gt;'(backend scoring)'!$T$335,"",$A179+1),"")</f>
        <v/>
      </c>
      <c r="B180" s="241" t="str">
        <f>_xlfn.XLOOKUP($A180,'(backend scoring)'!$V$2:$V$333,'(backend scoring)'!$A$2:$A$333,"")</f>
        <v/>
      </c>
      <c r="C180" s="241" t="str">
        <f>IFERROR(VLOOKUP($B180,'Institution Evaluation'!$A$55:$F$345,2,0),IFERROR(VLOOKUP($B180,'Privacy Analyst Evaluation'!$A$46:$F$120,2,0),""))&amp;""</f>
        <v/>
      </c>
      <c r="D180" s="241" t="str">
        <f>IFERROR(VLOOKUP($B180,'Institution Evaluation'!$A$55:$F$345,3,0),IFERROR(VLOOKUP($B180,'Privacy Analyst Evaluation'!$A$46:$F$120,3,0),""))&amp;""</f>
        <v/>
      </c>
      <c r="E180" s="241" t="str">
        <f>IFERROR(VLOOKUP($B180,'Institution Evaluation'!$A$55:$F$345,4,0),IFERROR(VLOOKUP($B180,'Privacy Analyst Evaluation'!$A$46:$F$120,4,0),""))&amp;""</f>
        <v/>
      </c>
      <c r="F180" s="241" t="str">
        <f>IFERROR(VLOOKUP($B180,'Institution Evaluation'!$A$55:$F$345,6,0),IFERROR(VLOOKUP($B180,'Privacy Analyst Evaluation'!$A$46:$F$120,6,0),""))&amp;""</f>
        <v/>
      </c>
      <c r="G180" s="242"/>
      <c r="H180" s="241" t="str">
        <f>IFERROR(IF($H179+1&gt;'(backend scoring)'!$Q$335,"",$H179+1),"")</f>
        <v/>
      </c>
      <c r="I180" s="241" t="str">
        <f>_xlfn.XLOOKUP($H180,'(backend scoring)'!$S$2:$S$333,'(backend scoring)'!$A$2:$A$333,"")</f>
        <v/>
      </c>
      <c r="J180" s="241" t="str">
        <f>IFERROR(VLOOKUP($I180,'Institution Evaluation'!$A$55:$F$345,2,0),IFERROR(VLOOKUP($I180,'Privacy Analyst Evaluation'!$A$46:$F$120,2,0),""))</f>
        <v/>
      </c>
      <c r="K180" s="241" t="str">
        <f>IFERROR(VLOOKUP($I180,'Institution Evaluation'!$A$55:$F$345,3,0),IFERROR(VLOOKUP($I180,'Privacy Analyst Evaluation'!$A$46:$F$120,3,0),""))&amp;""</f>
        <v/>
      </c>
      <c r="L180" s="241" t="str">
        <f>IFERROR(VLOOKUP($I180,'Institution Evaluation'!$A$55:$F$345,4,0),IFERROR(VLOOKUP($I180,'Privacy Analyst Evaluation'!$A$46:$F$120,4,0),""))&amp;""</f>
        <v/>
      </c>
      <c r="M180" s="241" t="str">
        <f>IFERROR(VLOOKUP($I180,'Institution Evaluation'!$A$55:$F$345,6,0),IFERROR(VLOOKUP($I180,'Privacy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ht="17" x14ac:dyDescent="0.2">
      <c r="A181" s="241" t="str">
        <f>IFERROR(IF($A180+1&gt;'(backend scoring)'!$T$335,"",$A180+1),"")</f>
        <v/>
      </c>
      <c r="B181" s="241" t="str">
        <f>_xlfn.XLOOKUP($A181,'(backend scoring)'!$V$2:$V$333,'(backend scoring)'!$A$2:$A$333,"")</f>
        <v/>
      </c>
      <c r="C181" s="241" t="str">
        <f>IFERROR(VLOOKUP($B181,'Institution Evaluation'!$A$55:$F$345,2,0),IFERROR(VLOOKUP($B181,'Privacy Analyst Evaluation'!$A$46:$F$120,2,0),""))&amp;""</f>
        <v/>
      </c>
      <c r="D181" s="241" t="str">
        <f>IFERROR(VLOOKUP($B181,'Institution Evaluation'!$A$55:$F$345,3,0),IFERROR(VLOOKUP($B181,'Privacy Analyst Evaluation'!$A$46:$F$120,3,0),""))&amp;""</f>
        <v/>
      </c>
      <c r="E181" s="241" t="str">
        <f>IFERROR(VLOOKUP($B181,'Institution Evaluation'!$A$55:$F$345,4,0),IFERROR(VLOOKUP($B181,'Privacy Analyst Evaluation'!$A$46:$F$120,4,0),""))&amp;""</f>
        <v/>
      </c>
      <c r="F181" s="241" t="str">
        <f>IFERROR(VLOOKUP($B181,'Institution Evaluation'!$A$55:$F$345,6,0),IFERROR(VLOOKUP($B181,'Privacy Analyst Evaluation'!$A$46:$F$120,6,0),""))&amp;""</f>
        <v/>
      </c>
      <c r="G181" s="242"/>
      <c r="H181" s="241" t="str">
        <f>IFERROR(IF($H180+1&gt;'(backend scoring)'!$Q$335,"",$H180+1),"")</f>
        <v/>
      </c>
      <c r="I181" s="241" t="str">
        <f>_xlfn.XLOOKUP($H181,'(backend scoring)'!$S$2:$S$333,'(backend scoring)'!$A$2:$A$333,"")</f>
        <v/>
      </c>
      <c r="J181" s="241" t="str">
        <f>IFERROR(VLOOKUP($I181,'Institution Evaluation'!$A$55:$F$345,2,0),IFERROR(VLOOKUP($I181,'Privacy Analyst Evaluation'!$A$46:$F$120,2,0),""))</f>
        <v/>
      </c>
      <c r="K181" s="241" t="str">
        <f>IFERROR(VLOOKUP($I181,'Institution Evaluation'!$A$55:$F$345,3,0),IFERROR(VLOOKUP($I181,'Privacy Analyst Evaluation'!$A$46:$F$120,3,0),""))&amp;""</f>
        <v/>
      </c>
      <c r="L181" s="241" t="str">
        <f>IFERROR(VLOOKUP($I181,'Institution Evaluation'!$A$55:$F$345,4,0),IFERROR(VLOOKUP($I181,'Privacy Analyst Evaluation'!$A$46:$F$120,4,0),""))&amp;""</f>
        <v/>
      </c>
      <c r="M181" s="241" t="str">
        <f>IFERROR(VLOOKUP($I181,'Institution Evaluation'!$A$55:$F$345,6,0),IFERROR(VLOOKUP($I181,'Privacy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ht="17" x14ac:dyDescent="0.2">
      <c r="A182" s="241" t="str">
        <f>IFERROR(IF($A181+1&gt;'(backend scoring)'!$T$335,"",$A181+1),"")</f>
        <v/>
      </c>
      <c r="B182" s="241" t="str">
        <f>_xlfn.XLOOKUP($A182,'(backend scoring)'!$V$2:$V$333,'(backend scoring)'!$A$2:$A$333,"")</f>
        <v/>
      </c>
      <c r="C182" s="241" t="str">
        <f>IFERROR(VLOOKUP($B182,'Institution Evaluation'!$A$55:$F$345,2,0),IFERROR(VLOOKUP($B182,'Privacy Analyst Evaluation'!$A$46:$F$120,2,0),""))&amp;""</f>
        <v/>
      </c>
      <c r="D182" s="241" t="str">
        <f>IFERROR(VLOOKUP($B182,'Institution Evaluation'!$A$55:$F$345,3,0),IFERROR(VLOOKUP($B182,'Privacy Analyst Evaluation'!$A$46:$F$120,3,0),""))&amp;""</f>
        <v/>
      </c>
      <c r="E182" s="241" t="str">
        <f>IFERROR(VLOOKUP($B182,'Institution Evaluation'!$A$55:$F$345,4,0),IFERROR(VLOOKUP($B182,'Privacy Analyst Evaluation'!$A$46:$F$120,4,0),""))&amp;""</f>
        <v/>
      </c>
      <c r="F182" s="241" t="str">
        <f>IFERROR(VLOOKUP($B182,'Institution Evaluation'!$A$55:$F$345,6,0),IFERROR(VLOOKUP($B182,'Privacy Analyst Evaluation'!$A$46:$F$120,6,0),""))&amp;""</f>
        <v/>
      </c>
      <c r="G182" s="242"/>
      <c r="H182" s="241" t="str">
        <f>IFERROR(IF($H181+1&gt;'(backend scoring)'!$Q$335,"",$H181+1),"")</f>
        <v/>
      </c>
      <c r="I182" s="241" t="str">
        <f>_xlfn.XLOOKUP($H182,'(backend scoring)'!$S$2:$S$333,'(backend scoring)'!$A$2:$A$333,"")</f>
        <v/>
      </c>
      <c r="J182" s="241" t="str">
        <f>IFERROR(VLOOKUP($I182,'Institution Evaluation'!$A$55:$F$345,2,0),IFERROR(VLOOKUP($I182,'Privacy Analyst Evaluation'!$A$46:$F$120,2,0),""))</f>
        <v/>
      </c>
      <c r="K182" s="241" t="str">
        <f>IFERROR(VLOOKUP($I182,'Institution Evaluation'!$A$55:$F$345,3,0),IFERROR(VLOOKUP($I182,'Privacy Analyst Evaluation'!$A$46:$F$120,3,0),""))&amp;""</f>
        <v/>
      </c>
      <c r="L182" s="241" t="str">
        <f>IFERROR(VLOOKUP($I182,'Institution Evaluation'!$A$55:$F$345,4,0),IFERROR(VLOOKUP($I182,'Privacy Analyst Evaluation'!$A$46:$F$120,4,0),""))&amp;""</f>
        <v/>
      </c>
      <c r="M182" s="241" t="str">
        <f>IFERROR(VLOOKUP($I182,'Institution Evaluation'!$A$55:$F$345,6,0),IFERROR(VLOOKUP($I182,'Privacy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ht="17" x14ac:dyDescent="0.2">
      <c r="A183" s="241" t="str">
        <f>IFERROR(IF($A182+1&gt;'(backend scoring)'!$T$335,"",$A182+1),"")</f>
        <v/>
      </c>
      <c r="B183" s="241" t="str">
        <f>_xlfn.XLOOKUP($A183,'(backend scoring)'!$V$2:$V$333,'(backend scoring)'!$A$2:$A$333,"")</f>
        <v/>
      </c>
      <c r="C183" s="241" t="str">
        <f>IFERROR(VLOOKUP($B183,'Institution Evaluation'!$A$55:$F$345,2,0),IFERROR(VLOOKUP($B183,'Privacy Analyst Evaluation'!$A$46:$F$120,2,0),""))&amp;""</f>
        <v/>
      </c>
      <c r="D183" s="241" t="str">
        <f>IFERROR(VLOOKUP($B183,'Institution Evaluation'!$A$55:$F$345,3,0),IFERROR(VLOOKUP($B183,'Privacy Analyst Evaluation'!$A$46:$F$120,3,0),""))&amp;""</f>
        <v/>
      </c>
      <c r="E183" s="241" t="str">
        <f>IFERROR(VLOOKUP($B183,'Institution Evaluation'!$A$55:$F$345,4,0),IFERROR(VLOOKUP($B183,'Privacy Analyst Evaluation'!$A$46:$F$120,4,0),""))&amp;""</f>
        <v/>
      </c>
      <c r="F183" s="241" t="str">
        <f>IFERROR(VLOOKUP($B183,'Institution Evaluation'!$A$55:$F$345,6,0),IFERROR(VLOOKUP($B183,'Privacy Analyst Evaluation'!$A$46:$F$120,6,0),""))&amp;""</f>
        <v/>
      </c>
      <c r="G183" s="242"/>
      <c r="H183" s="241" t="str">
        <f>IFERROR(IF($H182+1&gt;'(backend scoring)'!$Q$335,"",$H182+1),"")</f>
        <v/>
      </c>
      <c r="I183" s="241" t="str">
        <f>_xlfn.XLOOKUP($H183,'(backend scoring)'!$S$2:$S$333,'(backend scoring)'!$A$2:$A$333,"")</f>
        <v/>
      </c>
      <c r="J183" s="241" t="str">
        <f>IFERROR(VLOOKUP($I183,'Institution Evaluation'!$A$55:$F$345,2,0),IFERROR(VLOOKUP($I183,'Privacy Analyst Evaluation'!$A$46:$F$120,2,0),""))</f>
        <v/>
      </c>
      <c r="K183" s="241" t="str">
        <f>IFERROR(VLOOKUP($I183,'Institution Evaluation'!$A$55:$F$345,3,0),IFERROR(VLOOKUP($I183,'Privacy Analyst Evaluation'!$A$46:$F$120,3,0),""))&amp;""</f>
        <v/>
      </c>
      <c r="L183" s="241" t="str">
        <f>IFERROR(VLOOKUP($I183,'Institution Evaluation'!$A$55:$F$345,4,0),IFERROR(VLOOKUP($I183,'Privacy Analyst Evaluation'!$A$46:$F$120,4,0),""))&amp;""</f>
        <v/>
      </c>
      <c r="M183" s="241" t="str">
        <f>IFERROR(VLOOKUP($I183,'Institution Evaluation'!$A$55:$F$345,6,0),IFERROR(VLOOKUP($I183,'Privacy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ht="17" x14ac:dyDescent="0.2">
      <c r="A184" s="241" t="str">
        <f>IFERROR(IF($A183+1&gt;'(backend scoring)'!$T$335,"",$A183+1),"")</f>
        <v/>
      </c>
      <c r="B184" s="241" t="str">
        <f>_xlfn.XLOOKUP($A184,'(backend scoring)'!$V$2:$V$333,'(backend scoring)'!$A$2:$A$333,"")</f>
        <v/>
      </c>
      <c r="C184" s="241" t="str">
        <f>IFERROR(VLOOKUP($B184,'Institution Evaluation'!$A$55:$F$345,2,0),IFERROR(VLOOKUP($B184,'Privacy Analyst Evaluation'!$A$46:$F$120,2,0),""))&amp;""</f>
        <v/>
      </c>
      <c r="D184" s="241" t="str">
        <f>IFERROR(VLOOKUP($B184,'Institution Evaluation'!$A$55:$F$345,3,0),IFERROR(VLOOKUP($B184,'Privacy Analyst Evaluation'!$A$46:$F$120,3,0),""))&amp;""</f>
        <v/>
      </c>
      <c r="E184" s="241" t="str">
        <f>IFERROR(VLOOKUP($B184,'Institution Evaluation'!$A$55:$F$345,4,0),IFERROR(VLOOKUP($B184,'Privacy Analyst Evaluation'!$A$46:$F$120,4,0),""))&amp;""</f>
        <v/>
      </c>
      <c r="F184" s="241" t="str">
        <f>IFERROR(VLOOKUP($B184,'Institution Evaluation'!$A$55:$F$345,6,0),IFERROR(VLOOKUP($B184,'Privacy Analyst Evaluation'!$A$46:$F$120,6,0),""))&amp;""</f>
        <v/>
      </c>
      <c r="G184" s="242"/>
      <c r="H184" s="241" t="str">
        <f>IFERROR(IF($H183+1&gt;'(backend scoring)'!$Q$335,"",$H183+1),"")</f>
        <v/>
      </c>
      <c r="I184" s="241" t="str">
        <f>_xlfn.XLOOKUP($H184,'(backend scoring)'!$S$2:$S$333,'(backend scoring)'!$A$2:$A$333,"")</f>
        <v/>
      </c>
      <c r="J184" s="241" t="str">
        <f>IFERROR(VLOOKUP($I184,'Institution Evaluation'!$A$55:$F$345,2,0),IFERROR(VLOOKUP($I184,'Privacy Analyst Evaluation'!$A$46:$F$120,2,0),""))</f>
        <v/>
      </c>
      <c r="K184" s="241" t="str">
        <f>IFERROR(VLOOKUP($I184,'Institution Evaluation'!$A$55:$F$345,3,0),IFERROR(VLOOKUP($I184,'Privacy Analyst Evaluation'!$A$46:$F$120,3,0),""))&amp;""</f>
        <v/>
      </c>
      <c r="L184" s="241" t="str">
        <f>IFERROR(VLOOKUP($I184,'Institution Evaluation'!$A$55:$F$345,4,0),IFERROR(VLOOKUP($I184,'Privacy Analyst Evaluation'!$A$46:$F$120,4,0),""))&amp;""</f>
        <v/>
      </c>
      <c r="M184" s="241" t="str">
        <f>IFERROR(VLOOKUP($I184,'Institution Evaluation'!$A$55:$F$345,6,0),IFERROR(VLOOKUP($I184,'Privacy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ht="17" x14ac:dyDescent="0.2">
      <c r="A185" s="241" t="str">
        <f>IFERROR(IF($A184+1&gt;'(backend scoring)'!$T$335,"",$A184+1),"")</f>
        <v/>
      </c>
      <c r="B185" s="241" t="str">
        <f>_xlfn.XLOOKUP($A185,'(backend scoring)'!$V$2:$V$333,'(backend scoring)'!$A$2:$A$333,"")</f>
        <v/>
      </c>
      <c r="C185" s="241" t="str">
        <f>IFERROR(VLOOKUP($B185,'Institution Evaluation'!$A$55:$F$345,2,0),IFERROR(VLOOKUP($B185,'Privacy Analyst Evaluation'!$A$46:$F$120,2,0),""))&amp;""</f>
        <v/>
      </c>
      <c r="D185" s="241" t="str">
        <f>IFERROR(VLOOKUP($B185,'Institution Evaluation'!$A$55:$F$345,3,0),IFERROR(VLOOKUP($B185,'Privacy Analyst Evaluation'!$A$46:$F$120,3,0),""))&amp;""</f>
        <v/>
      </c>
      <c r="E185" s="241" t="str">
        <f>IFERROR(VLOOKUP($B185,'Institution Evaluation'!$A$55:$F$345,4,0),IFERROR(VLOOKUP($B185,'Privacy Analyst Evaluation'!$A$46:$F$120,4,0),""))&amp;""</f>
        <v/>
      </c>
      <c r="F185" s="241" t="str">
        <f>IFERROR(VLOOKUP($B185,'Institution Evaluation'!$A$55:$F$345,6,0),IFERROR(VLOOKUP($B185,'Privacy Analyst Evaluation'!$A$46:$F$120,6,0),""))&amp;""</f>
        <v/>
      </c>
      <c r="G185" s="242"/>
      <c r="H185" s="241" t="str">
        <f>IFERROR(IF($H184+1&gt;'(backend scoring)'!$Q$335,"",$H184+1),"")</f>
        <v/>
      </c>
      <c r="I185" s="241" t="str">
        <f>_xlfn.XLOOKUP($H185,'(backend scoring)'!$S$2:$S$333,'(backend scoring)'!$A$2:$A$333,"")</f>
        <v/>
      </c>
      <c r="J185" s="241" t="str">
        <f>IFERROR(VLOOKUP($I185,'Institution Evaluation'!$A$55:$F$345,2,0),IFERROR(VLOOKUP($I185,'Privacy Analyst Evaluation'!$A$46:$F$120,2,0),""))</f>
        <v/>
      </c>
      <c r="K185" s="241" t="str">
        <f>IFERROR(VLOOKUP($I185,'Institution Evaluation'!$A$55:$F$345,3,0),IFERROR(VLOOKUP($I185,'Privacy Analyst Evaluation'!$A$46:$F$120,3,0),""))&amp;""</f>
        <v/>
      </c>
      <c r="L185" s="241" t="str">
        <f>IFERROR(VLOOKUP($I185,'Institution Evaluation'!$A$55:$F$345,4,0),IFERROR(VLOOKUP($I185,'Privacy Analyst Evaluation'!$A$46:$F$120,4,0),""))&amp;""</f>
        <v/>
      </c>
      <c r="M185" s="241" t="str">
        <f>IFERROR(VLOOKUP($I185,'Institution Evaluation'!$A$55:$F$345,6,0),IFERROR(VLOOKUP($I185,'Privacy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ht="17" x14ac:dyDescent="0.2">
      <c r="A186" s="241" t="str">
        <f>IFERROR(IF($A185+1&gt;'(backend scoring)'!$T$335,"",$A185+1),"")</f>
        <v/>
      </c>
      <c r="B186" s="241" t="str">
        <f>_xlfn.XLOOKUP($A186,'(backend scoring)'!$V$2:$V$333,'(backend scoring)'!$A$2:$A$333,"")</f>
        <v/>
      </c>
      <c r="C186" s="241" t="str">
        <f>IFERROR(VLOOKUP($B186,'Institution Evaluation'!$A$55:$F$345,2,0),IFERROR(VLOOKUP($B186,'Privacy Analyst Evaluation'!$A$46:$F$120,2,0),""))&amp;""</f>
        <v/>
      </c>
      <c r="D186" s="241" t="str">
        <f>IFERROR(VLOOKUP($B186,'Institution Evaluation'!$A$55:$F$345,3,0),IFERROR(VLOOKUP($B186,'Privacy Analyst Evaluation'!$A$46:$F$120,3,0),""))&amp;""</f>
        <v/>
      </c>
      <c r="E186" s="241" t="str">
        <f>IFERROR(VLOOKUP($B186,'Institution Evaluation'!$A$55:$F$345,4,0),IFERROR(VLOOKUP($B186,'Privacy Analyst Evaluation'!$A$46:$F$120,4,0),""))&amp;""</f>
        <v/>
      </c>
      <c r="F186" s="241" t="str">
        <f>IFERROR(VLOOKUP($B186,'Institution Evaluation'!$A$55:$F$345,6,0),IFERROR(VLOOKUP($B186,'Privacy Analyst Evaluation'!$A$46:$F$120,6,0),""))&amp;""</f>
        <v/>
      </c>
      <c r="G186" s="242"/>
      <c r="H186" s="241" t="str">
        <f>IFERROR(IF($H185+1&gt;'(backend scoring)'!$Q$335,"",$H185+1),"")</f>
        <v/>
      </c>
      <c r="I186" s="241" t="str">
        <f>_xlfn.XLOOKUP($H186,'(backend scoring)'!$S$2:$S$333,'(backend scoring)'!$A$2:$A$333,"")</f>
        <v/>
      </c>
      <c r="J186" s="241" t="str">
        <f>IFERROR(VLOOKUP($I186,'Institution Evaluation'!$A$55:$F$345,2,0),IFERROR(VLOOKUP($I186,'Privacy Analyst Evaluation'!$A$46:$F$120,2,0),""))</f>
        <v/>
      </c>
      <c r="K186" s="241" t="str">
        <f>IFERROR(VLOOKUP($I186,'Institution Evaluation'!$A$55:$F$345,3,0),IFERROR(VLOOKUP($I186,'Privacy Analyst Evaluation'!$A$46:$F$120,3,0),""))&amp;""</f>
        <v/>
      </c>
      <c r="L186" s="241" t="str">
        <f>IFERROR(VLOOKUP($I186,'Institution Evaluation'!$A$55:$F$345,4,0),IFERROR(VLOOKUP($I186,'Privacy Analyst Evaluation'!$A$46:$F$120,4,0),""))&amp;""</f>
        <v/>
      </c>
      <c r="M186" s="241" t="str">
        <f>IFERROR(VLOOKUP($I186,'Institution Evaluation'!$A$55:$F$345,6,0),IFERROR(VLOOKUP($I186,'Privacy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ht="17" x14ac:dyDescent="0.2">
      <c r="A187" s="241" t="str">
        <f>IFERROR(IF($A186+1&gt;'(backend scoring)'!$T$335,"",$A186+1),"")</f>
        <v/>
      </c>
      <c r="B187" s="241" t="str">
        <f>_xlfn.XLOOKUP($A187,'(backend scoring)'!$V$2:$V$333,'(backend scoring)'!$A$2:$A$333,"")</f>
        <v/>
      </c>
      <c r="C187" s="241" t="str">
        <f>IFERROR(VLOOKUP($B187,'Institution Evaluation'!$A$55:$F$345,2,0),IFERROR(VLOOKUP($B187,'Privacy Analyst Evaluation'!$A$46:$F$120,2,0),""))&amp;""</f>
        <v/>
      </c>
      <c r="D187" s="241" t="str">
        <f>IFERROR(VLOOKUP($B187,'Institution Evaluation'!$A$55:$F$345,3,0),IFERROR(VLOOKUP($B187,'Privacy Analyst Evaluation'!$A$46:$F$120,3,0),""))&amp;""</f>
        <v/>
      </c>
      <c r="E187" s="241" t="str">
        <f>IFERROR(VLOOKUP($B187,'Institution Evaluation'!$A$55:$F$345,4,0),IFERROR(VLOOKUP($B187,'Privacy Analyst Evaluation'!$A$46:$F$120,4,0),""))&amp;""</f>
        <v/>
      </c>
      <c r="F187" s="241" t="str">
        <f>IFERROR(VLOOKUP($B187,'Institution Evaluation'!$A$55:$F$345,6,0),IFERROR(VLOOKUP($B187,'Privacy Analyst Evaluation'!$A$46:$F$120,6,0),""))&amp;""</f>
        <v/>
      </c>
      <c r="G187" s="242"/>
      <c r="H187" s="241" t="str">
        <f>IFERROR(IF($H186+1&gt;'(backend scoring)'!$Q$335,"",$H186+1),"")</f>
        <v/>
      </c>
      <c r="I187" s="241" t="str">
        <f>_xlfn.XLOOKUP($H187,'(backend scoring)'!$S$2:$S$333,'(backend scoring)'!$A$2:$A$333,"")</f>
        <v/>
      </c>
      <c r="J187" s="241" t="str">
        <f>IFERROR(VLOOKUP($I187,'Institution Evaluation'!$A$55:$F$345,2,0),IFERROR(VLOOKUP($I187,'Privacy Analyst Evaluation'!$A$46:$F$120,2,0),""))</f>
        <v/>
      </c>
      <c r="K187" s="241" t="str">
        <f>IFERROR(VLOOKUP($I187,'Institution Evaluation'!$A$55:$F$345,3,0),IFERROR(VLOOKUP($I187,'Privacy Analyst Evaluation'!$A$46:$F$120,3,0),""))&amp;""</f>
        <v/>
      </c>
      <c r="L187" s="241" t="str">
        <f>IFERROR(VLOOKUP($I187,'Institution Evaluation'!$A$55:$F$345,4,0),IFERROR(VLOOKUP($I187,'Privacy Analyst Evaluation'!$A$46:$F$120,4,0),""))&amp;""</f>
        <v/>
      </c>
      <c r="M187" s="241" t="str">
        <f>IFERROR(VLOOKUP($I187,'Institution Evaluation'!$A$55:$F$345,6,0),IFERROR(VLOOKUP($I187,'Privacy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ht="17" x14ac:dyDescent="0.2">
      <c r="A188" s="241" t="str">
        <f>IFERROR(IF($A187+1&gt;'(backend scoring)'!$T$335,"",$A187+1),"")</f>
        <v/>
      </c>
      <c r="B188" s="241" t="str">
        <f>_xlfn.XLOOKUP($A188,'(backend scoring)'!$V$2:$V$333,'(backend scoring)'!$A$2:$A$333,"")</f>
        <v/>
      </c>
      <c r="C188" s="241" t="str">
        <f>IFERROR(VLOOKUP($B188,'Institution Evaluation'!$A$55:$F$345,2,0),IFERROR(VLOOKUP($B188,'Privacy Analyst Evaluation'!$A$46:$F$120,2,0),""))&amp;""</f>
        <v/>
      </c>
      <c r="D188" s="241" t="str">
        <f>IFERROR(VLOOKUP($B188,'Institution Evaluation'!$A$55:$F$345,3,0),IFERROR(VLOOKUP($B188,'Privacy Analyst Evaluation'!$A$46:$F$120,3,0),""))&amp;""</f>
        <v/>
      </c>
      <c r="E188" s="241" t="str">
        <f>IFERROR(VLOOKUP($B188,'Institution Evaluation'!$A$55:$F$345,4,0),IFERROR(VLOOKUP($B188,'Privacy Analyst Evaluation'!$A$46:$F$120,4,0),""))&amp;""</f>
        <v/>
      </c>
      <c r="F188" s="241" t="str">
        <f>IFERROR(VLOOKUP($B188,'Institution Evaluation'!$A$55:$F$345,6,0),IFERROR(VLOOKUP($B188,'Privacy Analyst Evaluation'!$A$46:$F$120,6,0),""))&amp;""</f>
        <v/>
      </c>
      <c r="G188" s="242"/>
      <c r="H188" s="241" t="str">
        <f>IFERROR(IF($H187+1&gt;'(backend scoring)'!$Q$335,"",$H187+1),"")</f>
        <v/>
      </c>
      <c r="I188" s="241" t="str">
        <f>_xlfn.XLOOKUP($H188,'(backend scoring)'!$S$2:$S$333,'(backend scoring)'!$A$2:$A$333,"")</f>
        <v/>
      </c>
      <c r="J188" s="241" t="str">
        <f>IFERROR(VLOOKUP($I188,'Institution Evaluation'!$A$55:$F$345,2,0),IFERROR(VLOOKUP($I188,'Privacy Analyst Evaluation'!$A$46:$F$120,2,0),""))</f>
        <v/>
      </c>
      <c r="K188" s="241" t="str">
        <f>IFERROR(VLOOKUP($I188,'Institution Evaluation'!$A$55:$F$345,3,0),IFERROR(VLOOKUP($I188,'Privacy Analyst Evaluation'!$A$46:$F$120,3,0),""))&amp;""</f>
        <v/>
      </c>
      <c r="L188" s="241" t="str">
        <f>IFERROR(VLOOKUP($I188,'Institution Evaluation'!$A$55:$F$345,4,0),IFERROR(VLOOKUP($I188,'Privacy Analyst Evaluation'!$A$46:$F$120,4,0),""))&amp;""</f>
        <v/>
      </c>
      <c r="M188" s="241" t="str">
        <f>IFERROR(VLOOKUP($I188,'Institution Evaluation'!$A$55:$F$345,6,0),IFERROR(VLOOKUP($I188,'Privacy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ht="17" x14ac:dyDescent="0.2">
      <c r="A189" s="241" t="str">
        <f>IFERROR(IF($A188+1&gt;'(backend scoring)'!$T$335,"",$A188+1),"")</f>
        <v/>
      </c>
      <c r="B189" s="241" t="str">
        <f>_xlfn.XLOOKUP($A189,'(backend scoring)'!$V$2:$V$333,'(backend scoring)'!$A$2:$A$333,"")</f>
        <v/>
      </c>
      <c r="C189" s="241" t="str">
        <f>IFERROR(VLOOKUP($B189,'Institution Evaluation'!$A$55:$F$345,2,0),IFERROR(VLOOKUP($B189,'Privacy Analyst Evaluation'!$A$46:$F$120,2,0),""))&amp;""</f>
        <v/>
      </c>
      <c r="D189" s="241" t="str">
        <f>IFERROR(VLOOKUP($B189,'Institution Evaluation'!$A$55:$F$345,3,0),IFERROR(VLOOKUP($B189,'Privacy Analyst Evaluation'!$A$46:$F$120,3,0),""))&amp;""</f>
        <v/>
      </c>
      <c r="E189" s="241" t="str">
        <f>IFERROR(VLOOKUP($B189,'Institution Evaluation'!$A$55:$F$345,4,0),IFERROR(VLOOKUP($B189,'Privacy Analyst Evaluation'!$A$46:$F$120,4,0),""))&amp;""</f>
        <v/>
      </c>
      <c r="F189" s="241" t="str">
        <f>IFERROR(VLOOKUP($B189,'Institution Evaluation'!$A$55:$F$345,6,0),IFERROR(VLOOKUP($B189,'Privacy Analyst Evaluation'!$A$46:$F$120,6,0),""))&amp;""</f>
        <v/>
      </c>
      <c r="G189" s="242"/>
      <c r="H189" s="241" t="str">
        <f>IFERROR(IF($H188+1&gt;'(backend scoring)'!$Q$335,"",$H188+1),"")</f>
        <v/>
      </c>
      <c r="I189" s="241" t="str">
        <f>_xlfn.XLOOKUP($H189,'(backend scoring)'!$S$2:$S$333,'(backend scoring)'!$A$2:$A$333,"")</f>
        <v/>
      </c>
      <c r="J189" s="241" t="str">
        <f>IFERROR(VLOOKUP($I189,'Institution Evaluation'!$A$55:$F$345,2,0),IFERROR(VLOOKUP($I189,'Privacy Analyst Evaluation'!$A$46:$F$120,2,0),""))</f>
        <v/>
      </c>
      <c r="K189" s="241" t="str">
        <f>IFERROR(VLOOKUP($I189,'Institution Evaluation'!$A$55:$F$345,3,0),IFERROR(VLOOKUP($I189,'Privacy Analyst Evaluation'!$A$46:$F$120,3,0),""))&amp;""</f>
        <v/>
      </c>
      <c r="L189" s="241" t="str">
        <f>IFERROR(VLOOKUP($I189,'Institution Evaluation'!$A$55:$F$345,4,0),IFERROR(VLOOKUP($I189,'Privacy Analyst Evaluation'!$A$46:$F$120,4,0),""))&amp;""</f>
        <v/>
      </c>
      <c r="M189" s="241" t="str">
        <f>IFERROR(VLOOKUP($I189,'Institution Evaluation'!$A$55:$F$345,6,0),IFERROR(VLOOKUP($I189,'Privacy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ht="17" x14ac:dyDescent="0.2">
      <c r="A190" s="241" t="str">
        <f>IFERROR(IF($A189+1&gt;'(backend scoring)'!$T$335,"",$A189+1),"")</f>
        <v/>
      </c>
      <c r="B190" s="241" t="str">
        <f>_xlfn.XLOOKUP($A190,'(backend scoring)'!$V$2:$V$333,'(backend scoring)'!$A$2:$A$333,"")</f>
        <v/>
      </c>
      <c r="C190" s="241" t="str">
        <f>IFERROR(VLOOKUP($B190,'Institution Evaluation'!$A$55:$F$345,2,0),IFERROR(VLOOKUP($B190,'Privacy Analyst Evaluation'!$A$46:$F$120,2,0),""))&amp;""</f>
        <v/>
      </c>
      <c r="D190" s="241" t="str">
        <f>IFERROR(VLOOKUP($B190,'Institution Evaluation'!$A$55:$F$345,3,0),IFERROR(VLOOKUP($B190,'Privacy Analyst Evaluation'!$A$46:$F$120,3,0),""))&amp;""</f>
        <v/>
      </c>
      <c r="E190" s="241" t="str">
        <f>IFERROR(VLOOKUP($B190,'Institution Evaluation'!$A$55:$F$345,4,0),IFERROR(VLOOKUP($B190,'Privacy Analyst Evaluation'!$A$46:$F$120,4,0),""))&amp;""</f>
        <v/>
      </c>
      <c r="F190" s="241" t="str">
        <f>IFERROR(VLOOKUP($B190,'Institution Evaluation'!$A$55:$F$345,6,0),IFERROR(VLOOKUP($B190,'Privacy Analyst Evaluation'!$A$46:$F$120,6,0),""))&amp;""</f>
        <v/>
      </c>
      <c r="G190" s="242"/>
      <c r="H190" s="241" t="str">
        <f>IFERROR(IF($H189+1&gt;'(backend scoring)'!$Q$335,"",$H189+1),"")</f>
        <v/>
      </c>
      <c r="I190" s="241" t="str">
        <f>_xlfn.XLOOKUP($H190,'(backend scoring)'!$S$2:$S$333,'(backend scoring)'!$A$2:$A$333,"")</f>
        <v/>
      </c>
      <c r="J190" s="241" t="str">
        <f>IFERROR(VLOOKUP($I190,'Institution Evaluation'!$A$55:$F$345,2,0),IFERROR(VLOOKUP($I190,'Privacy Analyst Evaluation'!$A$46:$F$120,2,0),""))</f>
        <v/>
      </c>
      <c r="K190" s="241" t="str">
        <f>IFERROR(VLOOKUP($I190,'Institution Evaluation'!$A$55:$F$345,3,0),IFERROR(VLOOKUP($I190,'Privacy Analyst Evaluation'!$A$46:$F$120,3,0),""))&amp;""</f>
        <v/>
      </c>
      <c r="L190" s="241" t="str">
        <f>IFERROR(VLOOKUP($I190,'Institution Evaluation'!$A$55:$F$345,4,0),IFERROR(VLOOKUP($I190,'Privacy Analyst Evaluation'!$A$46:$F$120,4,0),""))&amp;""</f>
        <v/>
      </c>
      <c r="M190" s="241" t="str">
        <f>IFERROR(VLOOKUP($I190,'Institution Evaluation'!$A$55:$F$345,6,0),IFERROR(VLOOKUP($I190,'Privacy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ht="17" x14ac:dyDescent="0.2">
      <c r="A191" s="241" t="str">
        <f>IFERROR(IF($A190+1&gt;'(backend scoring)'!$T$335,"",$A190+1),"")</f>
        <v/>
      </c>
      <c r="B191" s="241" t="str">
        <f>_xlfn.XLOOKUP($A191,'(backend scoring)'!$V$2:$V$333,'(backend scoring)'!$A$2:$A$333,"")</f>
        <v/>
      </c>
      <c r="C191" s="241" t="str">
        <f>IFERROR(VLOOKUP($B191,'Institution Evaluation'!$A$55:$F$345,2,0),IFERROR(VLOOKUP($B191,'Privacy Analyst Evaluation'!$A$46:$F$120,2,0),""))&amp;""</f>
        <v/>
      </c>
      <c r="D191" s="241" t="str">
        <f>IFERROR(VLOOKUP($B191,'Institution Evaluation'!$A$55:$F$345,3,0),IFERROR(VLOOKUP($B191,'Privacy Analyst Evaluation'!$A$46:$F$120,3,0),""))&amp;""</f>
        <v/>
      </c>
      <c r="E191" s="241" t="str">
        <f>IFERROR(VLOOKUP($B191,'Institution Evaluation'!$A$55:$F$345,4,0),IFERROR(VLOOKUP($B191,'Privacy Analyst Evaluation'!$A$46:$F$120,4,0),""))&amp;""</f>
        <v/>
      </c>
      <c r="F191" s="241" t="str">
        <f>IFERROR(VLOOKUP($B191,'Institution Evaluation'!$A$55:$F$345,6,0),IFERROR(VLOOKUP($B191,'Privacy Analyst Evaluation'!$A$46:$F$120,6,0),""))&amp;""</f>
        <v/>
      </c>
      <c r="G191" s="242"/>
      <c r="H191" s="241" t="str">
        <f>IFERROR(IF($H190+1&gt;'(backend scoring)'!$Q$335,"",$H190+1),"")</f>
        <v/>
      </c>
      <c r="I191" s="241" t="str">
        <f>_xlfn.XLOOKUP($H191,'(backend scoring)'!$S$2:$S$333,'(backend scoring)'!$A$2:$A$333,"")</f>
        <v/>
      </c>
      <c r="J191" s="241" t="str">
        <f>IFERROR(VLOOKUP($I191,'Institution Evaluation'!$A$55:$F$345,2,0),IFERROR(VLOOKUP($I191,'Privacy Analyst Evaluation'!$A$46:$F$120,2,0),""))</f>
        <v/>
      </c>
      <c r="K191" s="241" t="str">
        <f>IFERROR(VLOOKUP($I191,'Institution Evaluation'!$A$55:$F$345,3,0),IFERROR(VLOOKUP($I191,'Privacy Analyst Evaluation'!$A$46:$F$120,3,0),""))&amp;""</f>
        <v/>
      </c>
      <c r="L191" s="241" t="str">
        <f>IFERROR(VLOOKUP($I191,'Institution Evaluation'!$A$55:$F$345,4,0),IFERROR(VLOOKUP($I191,'Privacy Analyst Evaluation'!$A$46:$F$120,4,0),""))&amp;""</f>
        <v/>
      </c>
      <c r="M191" s="241" t="str">
        <f>IFERROR(VLOOKUP($I191,'Institution Evaluation'!$A$55:$F$345,6,0),IFERROR(VLOOKUP($I191,'Privacy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ht="17" x14ac:dyDescent="0.2">
      <c r="A192" s="241" t="str">
        <f>IFERROR(IF($A191+1&gt;'(backend scoring)'!$T$335,"",$A191+1),"")</f>
        <v/>
      </c>
      <c r="B192" s="241" t="str">
        <f>_xlfn.XLOOKUP($A192,'(backend scoring)'!$V$2:$V$333,'(backend scoring)'!$A$2:$A$333,"")</f>
        <v/>
      </c>
      <c r="C192" s="241" t="str">
        <f>IFERROR(VLOOKUP($B192,'Institution Evaluation'!$A$55:$F$345,2,0),IFERROR(VLOOKUP($B192,'Privacy Analyst Evaluation'!$A$46:$F$120,2,0),""))&amp;""</f>
        <v/>
      </c>
      <c r="D192" s="241" t="str">
        <f>IFERROR(VLOOKUP($B192,'Institution Evaluation'!$A$55:$F$345,3,0),IFERROR(VLOOKUP($B192,'Privacy Analyst Evaluation'!$A$46:$F$120,3,0),""))&amp;""</f>
        <v/>
      </c>
      <c r="E192" s="241" t="str">
        <f>IFERROR(VLOOKUP($B192,'Institution Evaluation'!$A$55:$F$345,4,0),IFERROR(VLOOKUP($B192,'Privacy Analyst Evaluation'!$A$46:$F$120,4,0),""))&amp;""</f>
        <v/>
      </c>
      <c r="F192" s="241" t="str">
        <f>IFERROR(VLOOKUP($B192,'Institution Evaluation'!$A$55:$F$345,6,0),IFERROR(VLOOKUP($B192,'Privacy Analyst Evaluation'!$A$46:$F$120,6,0),""))&amp;""</f>
        <v/>
      </c>
      <c r="G192" s="242"/>
      <c r="H192" s="241" t="str">
        <f>IFERROR(IF($H191+1&gt;'(backend scoring)'!$Q$335,"",$H191+1),"")</f>
        <v/>
      </c>
      <c r="I192" s="241" t="str">
        <f>_xlfn.XLOOKUP($H192,'(backend scoring)'!$S$2:$S$333,'(backend scoring)'!$A$2:$A$333,"")</f>
        <v/>
      </c>
      <c r="J192" s="241" t="str">
        <f>IFERROR(VLOOKUP($I192,'Institution Evaluation'!$A$55:$F$345,2,0),IFERROR(VLOOKUP($I192,'Privacy Analyst Evaluation'!$A$46:$F$120,2,0),""))</f>
        <v/>
      </c>
      <c r="K192" s="241" t="str">
        <f>IFERROR(VLOOKUP($I192,'Institution Evaluation'!$A$55:$F$345,3,0),IFERROR(VLOOKUP($I192,'Privacy Analyst Evaluation'!$A$46:$F$120,3,0),""))&amp;""</f>
        <v/>
      </c>
      <c r="L192" s="241" t="str">
        <f>IFERROR(VLOOKUP($I192,'Institution Evaluation'!$A$55:$F$345,4,0),IFERROR(VLOOKUP($I192,'Privacy Analyst Evaluation'!$A$46:$F$120,4,0),""))&amp;""</f>
        <v/>
      </c>
      <c r="M192" s="241" t="str">
        <f>IFERROR(VLOOKUP($I192,'Institution Evaluation'!$A$55:$F$345,6,0),IFERROR(VLOOKUP($I192,'Privacy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ht="17" x14ac:dyDescent="0.2">
      <c r="A193" s="241" t="str">
        <f>IFERROR(IF($A192+1&gt;'(backend scoring)'!$T$335,"",$A192+1),"")</f>
        <v/>
      </c>
      <c r="B193" s="241" t="str">
        <f>_xlfn.XLOOKUP($A193,'(backend scoring)'!$V$2:$V$333,'(backend scoring)'!$A$2:$A$333,"")</f>
        <v/>
      </c>
      <c r="C193" s="241" t="str">
        <f>IFERROR(VLOOKUP($B193,'Institution Evaluation'!$A$55:$F$345,2,0),IFERROR(VLOOKUP($B193,'Privacy Analyst Evaluation'!$A$46:$F$120,2,0),""))&amp;""</f>
        <v/>
      </c>
      <c r="D193" s="241" t="str">
        <f>IFERROR(VLOOKUP($B193,'Institution Evaluation'!$A$55:$F$345,3,0),IFERROR(VLOOKUP($B193,'Privacy Analyst Evaluation'!$A$46:$F$120,3,0),""))&amp;""</f>
        <v/>
      </c>
      <c r="E193" s="241" t="str">
        <f>IFERROR(VLOOKUP($B193,'Institution Evaluation'!$A$55:$F$345,4,0),IFERROR(VLOOKUP($B193,'Privacy Analyst Evaluation'!$A$46:$F$120,4,0),""))&amp;""</f>
        <v/>
      </c>
      <c r="F193" s="241" t="str">
        <f>IFERROR(VLOOKUP($B193,'Institution Evaluation'!$A$55:$F$345,6,0),IFERROR(VLOOKUP($B193,'Privacy Analyst Evaluation'!$A$46:$F$120,6,0),""))&amp;""</f>
        <v/>
      </c>
      <c r="G193" s="242"/>
      <c r="H193" s="241" t="str">
        <f>IFERROR(IF($H192+1&gt;'(backend scoring)'!$Q$335,"",$H192+1),"")</f>
        <v/>
      </c>
      <c r="I193" s="241" t="str">
        <f>_xlfn.XLOOKUP($H193,'(backend scoring)'!$S$2:$S$333,'(backend scoring)'!$A$2:$A$333,"")</f>
        <v/>
      </c>
      <c r="J193" s="241" t="str">
        <f>IFERROR(VLOOKUP($I193,'Institution Evaluation'!$A$55:$F$345,2,0),IFERROR(VLOOKUP($I193,'Privacy Analyst Evaluation'!$A$46:$F$120,2,0),""))</f>
        <v/>
      </c>
      <c r="K193" s="241" t="str">
        <f>IFERROR(VLOOKUP($I193,'Institution Evaluation'!$A$55:$F$345,3,0),IFERROR(VLOOKUP($I193,'Privacy Analyst Evaluation'!$A$46:$F$120,3,0),""))&amp;""</f>
        <v/>
      </c>
      <c r="L193" s="241" t="str">
        <f>IFERROR(VLOOKUP($I193,'Institution Evaluation'!$A$55:$F$345,4,0),IFERROR(VLOOKUP($I193,'Privacy Analyst Evaluation'!$A$46:$F$120,4,0),""))&amp;""</f>
        <v/>
      </c>
      <c r="M193" s="241" t="str">
        <f>IFERROR(VLOOKUP($I193,'Institution Evaluation'!$A$55:$F$345,6,0),IFERROR(VLOOKUP($I193,'Privacy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ht="17" x14ac:dyDescent="0.2">
      <c r="A194" s="241" t="str">
        <f>IFERROR(IF($A193+1&gt;'(backend scoring)'!$T$335,"",$A193+1),"")</f>
        <v/>
      </c>
      <c r="B194" s="241" t="str">
        <f>_xlfn.XLOOKUP($A194,'(backend scoring)'!$V$2:$V$333,'(backend scoring)'!$A$2:$A$333,"")</f>
        <v/>
      </c>
      <c r="C194" s="241" t="str">
        <f>IFERROR(VLOOKUP($B194,'Institution Evaluation'!$A$55:$F$345,2,0),IFERROR(VLOOKUP($B194,'Privacy Analyst Evaluation'!$A$46:$F$120,2,0),""))&amp;""</f>
        <v/>
      </c>
      <c r="D194" s="241" t="str">
        <f>IFERROR(VLOOKUP($B194,'Institution Evaluation'!$A$55:$F$345,3,0),IFERROR(VLOOKUP($B194,'Privacy Analyst Evaluation'!$A$46:$F$120,3,0),""))&amp;""</f>
        <v/>
      </c>
      <c r="E194" s="241" t="str">
        <f>IFERROR(VLOOKUP($B194,'Institution Evaluation'!$A$55:$F$345,4,0),IFERROR(VLOOKUP($B194,'Privacy Analyst Evaluation'!$A$46:$F$120,4,0),""))&amp;""</f>
        <v/>
      </c>
      <c r="F194" s="241" t="str">
        <f>IFERROR(VLOOKUP($B194,'Institution Evaluation'!$A$55:$F$345,6,0),IFERROR(VLOOKUP($B194,'Privacy Analyst Evaluation'!$A$46:$F$120,6,0),""))&amp;""</f>
        <v/>
      </c>
      <c r="G194" s="242"/>
      <c r="H194" s="241" t="str">
        <f>IFERROR(IF($H193+1&gt;'(backend scoring)'!$Q$335,"",$H193+1),"")</f>
        <v/>
      </c>
      <c r="I194" s="241" t="str">
        <f>_xlfn.XLOOKUP($H194,'(backend scoring)'!$S$2:$S$333,'(backend scoring)'!$A$2:$A$333,"")</f>
        <v/>
      </c>
      <c r="J194" s="241" t="str">
        <f>IFERROR(VLOOKUP($I194,'Institution Evaluation'!$A$55:$F$345,2,0),IFERROR(VLOOKUP($I194,'Privacy Analyst Evaluation'!$A$46:$F$120,2,0),""))</f>
        <v/>
      </c>
      <c r="K194" s="241" t="str">
        <f>IFERROR(VLOOKUP($I194,'Institution Evaluation'!$A$55:$F$345,3,0),IFERROR(VLOOKUP($I194,'Privacy Analyst Evaluation'!$A$46:$F$120,3,0),""))&amp;""</f>
        <v/>
      </c>
      <c r="L194" s="241" t="str">
        <f>IFERROR(VLOOKUP($I194,'Institution Evaluation'!$A$55:$F$345,4,0),IFERROR(VLOOKUP($I194,'Privacy Analyst Evaluation'!$A$46:$F$120,4,0),""))&amp;""</f>
        <v/>
      </c>
      <c r="M194" s="241" t="str">
        <f>IFERROR(VLOOKUP($I194,'Institution Evaluation'!$A$55:$F$345,6,0),IFERROR(VLOOKUP($I194,'Privacy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ht="17" x14ac:dyDescent="0.2">
      <c r="A195" s="241" t="str">
        <f>IFERROR(IF($A194+1&gt;'(backend scoring)'!$T$335,"",$A194+1),"")</f>
        <v/>
      </c>
      <c r="B195" s="241" t="str">
        <f>_xlfn.XLOOKUP($A195,'(backend scoring)'!$V$2:$V$333,'(backend scoring)'!$A$2:$A$333,"")</f>
        <v/>
      </c>
      <c r="C195" s="241" t="str">
        <f>IFERROR(VLOOKUP($B195,'Institution Evaluation'!$A$55:$F$345,2,0),IFERROR(VLOOKUP($B195,'Privacy Analyst Evaluation'!$A$46:$F$120,2,0),""))&amp;""</f>
        <v/>
      </c>
      <c r="D195" s="241" t="str">
        <f>IFERROR(VLOOKUP($B195,'Institution Evaluation'!$A$55:$F$345,3,0),IFERROR(VLOOKUP($B195,'Privacy Analyst Evaluation'!$A$46:$F$120,3,0),""))&amp;""</f>
        <v/>
      </c>
      <c r="E195" s="241" t="str">
        <f>IFERROR(VLOOKUP($B195,'Institution Evaluation'!$A$55:$F$345,4,0),IFERROR(VLOOKUP($B195,'Privacy Analyst Evaluation'!$A$46:$F$120,4,0),""))&amp;""</f>
        <v/>
      </c>
      <c r="F195" s="241" t="str">
        <f>IFERROR(VLOOKUP($B195,'Institution Evaluation'!$A$55:$F$345,6,0),IFERROR(VLOOKUP($B195,'Privacy Analyst Evaluation'!$A$46:$F$120,6,0),""))&amp;""</f>
        <v/>
      </c>
      <c r="G195" s="242"/>
      <c r="H195" s="241" t="str">
        <f>IFERROR(IF($H194+1&gt;'(backend scoring)'!$Q$335,"",$H194+1),"")</f>
        <v/>
      </c>
      <c r="I195" s="241" t="str">
        <f>_xlfn.XLOOKUP($H195,'(backend scoring)'!$S$2:$S$333,'(backend scoring)'!$A$2:$A$333,"")</f>
        <v/>
      </c>
      <c r="J195" s="241" t="str">
        <f>IFERROR(VLOOKUP($I195,'Institution Evaluation'!$A$55:$F$345,2,0),IFERROR(VLOOKUP($I195,'Privacy Analyst Evaluation'!$A$46:$F$120,2,0),""))</f>
        <v/>
      </c>
      <c r="K195" s="241" t="str">
        <f>IFERROR(VLOOKUP($I195,'Institution Evaluation'!$A$55:$F$345,3,0),IFERROR(VLOOKUP($I195,'Privacy Analyst Evaluation'!$A$46:$F$120,3,0),""))&amp;""</f>
        <v/>
      </c>
      <c r="L195" s="241" t="str">
        <f>IFERROR(VLOOKUP($I195,'Institution Evaluation'!$A$55:$F$345,4,0),IFERROR(VLOOKUP($I195,'Privacy Analyst Evaluation'!$A$46:$F$120,4,0),""))&amp;""</f>
        <v/>
      </c>
      <c r="M195" s="241" t="str">
        <f>IFERROR(VLOOKUP($I195,'Institution Evaluation'!$A$55:$F$345,6,0),IFERROR(VLOOKUP($I195,'Privacy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ht="17" x14ac:dyDescent="0.2">
      <c r="A196" s="241" t="str">
        <f>IFERROR(IF($A195+1&gt;'(backend scoring)'!$T$335,"",$A195+1),"")</f>
        <v/>
      </c>
      <c r="B196" s="241" t="str">
        <f>_xlfn.XLOOKUP($A196,'(backend scoring)'!$V$2:$V$333,'(backend scoring)'!$A$2:$A$333,"")</f>
        <v/>
      </c>
      <c r="C196" s="241" t="str">
        <f>IFERROR(VLOOKUP($B196,'Institution Evaluation'!$A$55:$F$345,2,0),IFERROR(VLOOKUP($B196,'Privacy Analyst Evaluation'!$A$46:$F$120,2,0),""))&amp;""</f>
        <v/>
      </c>
      <c r="D196" s="241" t="str">
        <f>IFERROR(VLOOKUP($B196,'Institution Evaluation'!$A$55:$F$345,3,0),IFERROR(VLOOKUP($B196,'Privacy Analyst Evaluation'!$A$46:$F$120,3,0),""))&amp;""</f>
        <v/>
      </c>
      <c r="E196" s="241" t="str">
        <f>IFERROR(VLOOKUP($B196,'Institution Evaluation'!$A$55:$F$345,4,0),IFERROR(VLOOKUP($B196,'Privacy Analyst Evaluation'!$A$46:$F$120,4,0),""))&amp;""</f>
        <v/>
      </c>
      <c r="F196" s="241" t="str">
        <f>IFERROR(VLOOKUP($B196,'Institution Evaluation'!$A$55:$F$345,6,0),IFERROR(VLOOKUP($B196,'Privacy Analyst Evaluation'!$A$46:$F$120,6,0),""))&amp;""</f>
        <v/>
      </c>
      <c r="G196" s="242"/>
      <c r="H196" s="241" t="str">
        <f>IFERROR(IF($H195+1&gt;'(backend scoring)'!$Q$335,"",$H195+1),"")</f>
        <v/>
      </c>
      <c r="I196" s="241" t="str">
        <f>_xlfn.XLOOKUP($H196,'(backend scoring)'!$S$2:$S$333,'(backend scoring)'!$A$2:$A$333,"")</f>
        <v/>
      </c>
      <c r="J196" s="241" t="str">
        <f>IFERROR(VLOOKUP($I196,'Institution Evaluation'!$A$55:$F$345,2,0),IFERROR(VLOOKUP($I196,'Privacy Analyst Evaluation'!$A$46:$F$120,2,0),""))</f>
        <v/>
      </c>
      <c r="K196" s="241" t="str">
        <f>IFERROR(VLOOKUP($I196,'Institution Evaluation'!$A$55:$F$345,3,0),IFERROR(VLOOKUP($I196,'Privacy Analyst Evaluation'!$A$46:$F$120,3,0),""))&amp;""</f>
        <v/>
      </c>
      <c r="L196" s="241" t="str">
        <f>IFERROR(VLOOKUP($I196,'Institution Evaluation'!$A$55:$F$345,4,0),IFERROR(VLOOKUP($I196,'Privacy Analyst Evaluation'!$A$46:$F$120,4,0),""))&amp;""</f>
        <v/>
      </c>
      <c r="M196" s="241" t="str">
        <f>IFERROR(VLOOKUP($I196,'Institution Evaluation'!$A$55:$F$345,6,0),IFERROR(VLOOKUP($I196,'Privacy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ht="17" x14ac:dyDescent="0.2">
      <c r="A197" s="241" t="str">
        <f>IFERROR(IF($A196+1&gt;'(backend scoring)'!$T$335,"",$A196+1),"")</f>
        <v/>
      </c>
      <c r="B197" s="241" t="str">
        <f>_xlfn.XLOOKUP($A197,'(backend scoring)'!$V$2:$V$333,'(backend scoring)'!$A$2:$A$333,"")</f>
        <v/>
      </c>
      <c r="C197" s="241" t="str">
        <f>IFERROR(VLOOKUP($B197,'Institution Evaluation'!$A$55:$F$345,2,0),IFERROR(VLOOKUP($B197,'Privacy Analyst Evaluation'!$A$46:$F$120,2,0),""))&amp;""</f>
        <v/>
      </c>
      <c r="D197" s="241" t="str">
        <f>IFERROR(VLOOKUP($B197,'Institution Evaluation'!$A$55:$F$345,3,0),IFERROR(VLOOKUP($B197,'Privacy Analyst Evaluation'!$A$46:$F$120,3,0),""))&amp;""</f>
        <v/>
      </c>
      <c r="E197" s="241" t="str">
        <f>IFERROR(VLOOKUP($B197,'Institution Evaluation'!$A$55:$F$345,4,0),IFERROR(VLOOKUP($B197,'Privacy Analyst Evaluation'!$A$46:$F$120,4,0),""))&amp;""</f>
        <v/>
      </c>
      <c r="F197" s="241" t="str">
        <f>IFERROR(VLOOKUP($B197,'Institution Evaluation'!$A$55:$F$345,6,0),IFERROR(VLOOKUP($B197,'Privacy Analyst Evaluation'!$A$46:$F$120,6,0),""))&amp;""</f>
        <v/>
      </c>
      <c r="G197" s="242"/>
      <c r="H197" s="241" t="str">
        <f>IFERROR(IF($H196+1&gt;'(backend scoring)'!$Q$335,"",$H196+1),"")</f>
        <v/>
      </c>
      <c r="I197" s="241" t="str">
        <f>_xlfn.XLOOKUP($H197,'(backend scoring)'!$S$2:$S$333,'(backend scoring)'!$A$2:$A$333,"")</f>
        <v/>
      </c>
      <c r="J197" s="241" t="str">
        <f>IFERROR(VLOOKUP($I197,'Institution Evaluation'!$A$55:$F$345,2,0),IFERROR(VLOOKUP($I197,'Privacy Analyst Evaluation'!$A$46:$F$120,2,0),""))</f>
        <v/>
      </c>
      <c r="K197" s="241" t="str">
        <f>IFERROR(VLOOKUP($I197,'Institution Evaluation'!$A$55:$F$345,3,0),IFERROR(VLOOKUP($I197,'Privacy Analyst Evaluation'!$A$46:$F$120,3,0),""))&amp;""</f>
        <v/>
      </c>
      <c r="L197" s="241" t="str">
        <f>IFERROR(VLOOKUP($I197,'Institution Evaluation'!$A$55:$F$345,4,0),IFERROR(VLOOKUP($I197,'Privacy Analyst Evaluation'!$A$46:$F$120,4,0),""))&amp;""</f>
        <v/>
      </c>
      <c r="M197" s="241" t="str">
        <f>IFERROR(VLOOKUP($I197,'Institution Evaluation'!$A$55:$F$345,6,0),IFERROR(VLOOKUP($I197,'Privacy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ht="17" x14ac:dyDescent="0.2">
      <c r="A198" s="241" t="str">
        <f>IFERROR(IF($A197+1&gt;'(backend scoring)'!$T$335,"",$A197+1),"")</f>
        <v/>
      </c>
      <c r="B198" s="241" t="str">
        <f>_xlfn.XLOOKUP($A198,'(backend scoring)'!$V$2:$V$333,'(backend scoring)'!$A$2:$A$333,"")</f>
        <v/>
      </c>
      <c r="C198" s="241" t="str">
        <f>IFERROR(VLOOKUP($B198,'Institution Evaluation'!$A$55:$F$345,2,0),IFERROR(VLOOKUP($B198,'Privacy Analyst Evaluation'!$A$46:$F$120,2,0),""))&amp;""</f>
        <v/>
      </c>
      <c r="D198" s="241" t="str">
        <f>IFERROR(VLOOKUP($B198,'Institution Evaluation'!$A$55:$F$345,3,0),IFERROR(VLOOKUP($B198,'Privacy Analyst Evaluation'!$A$46:$F$120,3,0),""))&amp;""</f>
        <v/>
      </c>
      <c r="E198" s="241" t="str">
        <f>IFERROR(VLOOKUP($B198,'Institution Evaluation'!$A$55:$F$345,4,0),IFERROR(VLOOKUP($B198,'Privacy Analyst Evaluation'!$A$46:$F$120,4,0),""))&amp;""</f>
        <v/>
      </c>
      <c r="F198" s="241" t="str">
        <f>IFERROR(VLOOKUP($B198,'Institution Evaluation'!$A$55:$F$345,6,0),IFERROR(VLOOKUP($B198,'Privacy Analyst Evaluation'!$A$46:$F$120,6,0),""))&amp;""</f>
        <v/>
      </c>
      <c r="G198" s="242"/>
      <c r="H198" s="241" t="str">
        <f>IFERROR(IF($H197+1&gt;'(backend scoring)'!$Q$335,"",$H197+1),"")</f>
        <v/>
      </c>
      <c r="I198" s="241" t="str">
        <f>_xlfn.XLOOKUP($H198,'(backend scoring)'!$S$2:$S$333,'(backend scoring)'!$A$2:$A$333,"")</f>
        <v/>
      </c>
      <c r="J198" s="241" t="str">
        <f>IFERROR(VLOOKUP($I198,'Institution Evaluation'!$A$55:$F$345,2,0),IFERROR(VLOOKUP($I198,'Privacy Analyst Evaluation'!$A$46:$F$120,2,0),""))</f>
        <v/>
      </c>
      <c r="K198" s="241" t="str">
        <f>IFERROR(VLOOKUP($I198,'Institution Evaluation'!$A$55:$F$345,3,0),IFERROR(VLOOKUP($I198,'Privacy Analyst Evaluation'!$A$46:$F$120,3,0),""))&amp;""</f>
        <v/>
      </c>
      <c r="L198" s="241" t="str">
        <f>IFERROR(VLOOKUP($I198,'Institution Evaluation'!$A$55:$F$345,4,0),IFERROR(VLOOKUP($I198,'Privacy Analyst Evaluation'!$A$46:$F$120,4,0),""))&amp;""</f>
        <v/>
      </c>
      <c r="M198" s="241" t="str">
        <f>IFERROR(VLOOKUP($I198,'Institution Evaluation'!$A$55:$F$345,6,0),IFERROR(VLOOKUP($I198,'Privacy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ht="17" x14ac:dyDescent="0.2">
      <c r="A199" s="241" t="str">
        <f>IFERROR(IF($A198+1&gt;'(backend scoring)'!$T$335,"",$A198+1),"")</f>
        <v/>
      </c>
      <c r="B199" s="241" t="str">
        <f>_xlfn.XLOOKUP($A199,'(backend scoring)'!$V$2:$V$333,'(backend scoring)'!$A$2:$A$333,"")</f>
        <v/>
      </c>
      <c r="C199" s="241" t="str">
        <f>IFERROR(VLOOKUP($B199,'Institution Evaluation'!$A$55:$F$345,2,0),IFERROR(VLOOKUP($B199,'Privacy Analyst Evaluation'!$A$46:$F$120,2,0),""))&amp;""</f>
        <v/>
      </c>
      <c r="D199" s="241" t="str">
        <f>IFERROR(VLOOKUP($B199,'Institution Evaluation'!$A$55:$F$345,3,0),IFERROR(VLOOKUP($B199,'Privacy Analyst Evaluation'!$A$46:$F$120,3,0),""))&amp;""</f>
        <v/>
      </c>
      <c r="E199" s="241" t="str">
        <f>IFERROR(VLOOKUP($B199,'Institution Evaluation'!$A$55:$F$345,4,0),IFERROR(VLOOKUP($B199,'Privacy Analyst Evaluation'!$A$46:$F$120,4,0),""))&amp;""</f>
        <v/>
      </c>
      <c r="F199" s="241" t="str">
        <f>IFERROR(VLOOKUP($B199,'Institution Evaluation'!$A$55:$F$345,6,0),IFERROR(VLOOKUP($B199,'Privacy Analyst Evaluation'!$A$46:$F$120,6,0),""))&amp;""</f>
        <v/>
      </c>
      <c r="G199" s="242"/>
      <c r="H199" s="241" t="str">
        <f>IFERROR(IF($H198+1&gt;'(backend scoring)'!$Q$335,"",$H198+1),"")</f>
        <v/>
      </c>
      <c r="I199" s="241" t="str">
        <f>_xlfn.XLOOKUP($H199,'(backend scoring)'!$S$2:$S$333,'(backend scoring)'!$A$2:$A$333,"")</f>
        <v/>
      </c>
      <c r="J199" s="241" t="str">
        <f>IFERROR(VLOOKUP($I199,'Institution Evaluation'!$A$55:$F$345,2,0),IFERROR(VLOOKUP($I199,'Privacy Analyst Evaluation'!$A$46:$F$120,2,0),""))</f>
        <v/>
      </c>
      <c r="K199" s="241" t="str">
        <f>IFERROR(VLOOKUP($I199,'Institution Evaluation'!$A$55:$F$345,3,0),IFERROR(VLOOKUP($I199,'Privacy Analyst Evaluation'!$A$46:$F$120,3,0),""))&amp;""</f>
        <v/>
      </c>
      <c r="L199" s="241" t="str">
        <f>IFERROR(VLOOKUP($I199,'Institution Evaluation'!$A$55:$F$345,4,0),IFERROR(VLOOKUP($I199,'Privacy Analyst Evaluation'!$A$46:$F$120,4,0),""))&amp;""</f>
        <v/>
      </c>
      <c r="M199" s="241" t="str">
        <f>IFERROR(VLOOKUP($I199,'Institution Evaluation'!$A$55:$F$345,6,0),IFERROR(VLOOKUP($I199,'Privacy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ht="17" x14ac:dyDescent="0.2">
      <c r="A200" s="241" t="str">
        <f>IFERROR(IF($A199+1&gt;'(backend scoring)'!$T$335,"",$A199+1),"")</f>
        <v/>
      </c>
      <c r="B200" s="241" t="str">
        <f>_xlfn.XLOOKUP($A200,'(backend scoring)'!$V$2:$V$333,'(backend scoring)'!$A$2:$A$333,"")</f>
        <v/>
      </c>
      <c r="C200" s="241" t="str">
        <f>IFERROR(VLOOKUP($B200,'Institution Evaluation'!$A$55:$F$345,2,0),IFERROR(VLOOKUP($B200,'Privacy Analyst Evaluation'!$A$46:$F$120,2,0),""))&amp;""</f>
        <v/>
      </c>
      <c r="D200" s="241" t="str">
        <f>IFERROR(VLOOKUP($B200,'Institution Evaluation'!$A$55:$F$345,3,0),IFERROR(VLOOKUP($B200,'Privacy Analyst Evaluation'!$A$46:$F$120,3,0),""))&amp;""</f>
        <v/>
      </c>
      <c r="E200" s="241" t="str">
        <f>IFERROR(VLOOKUP($B200,'Institution Evaluation'!$A$55:$F$345,4,0),IFERROR(VLOOKUP($B200,'Privacy Analyst Evaluation'!$A$46:$F$120,4,0),""))&amp;""</f>
        <v/>
      </c>
      <c r="F200" s="241" t="str">
        <f>IFERROR(VLOOKUP($B200,'Institution Evaluation'!$A$55:$F$345,6,0),IFERROR(VLOOKUP($B200,'Privacy Analyst Evaluation'!$A$46:$F$120,6,0),""))&amp;""</f>
        <v/>
      </c>
      <c r="G200" s="242"/>
      <c r="H200" s="241" t="str">
        <f>IFERROR(IF($H199+1&gt;'(backend scoring)'!$Q$335,"",$H199+1),"")</f>
        <v/>
      </c>
      <c r="I200" s="241" t="str">
        <f>_xlfn.XLOOKUP($H200,'(backend scoring)'!$S$2:$S$333,'(backend scoring)'!$A$2:$A$333,"")</f>
        <v/>
      </c>
      <c r="J200" s="241" t="str">
        <f>IFERROR(VLOOKUP($I200,'Institution Evaluation'!$A$55:$F$345,2,0),IFERROR(VLOOKUP($I200,'Privacy Analyst Evaluation'!$A$46:$F$120,2,0),""))</f>
        <v/>
      </c>
      <c r="K200" s="241" t="str">
        <f>IFERROR(VLOOKUP($I200,'Institution Evaluation'!$A$55:$F$345,3,0),IFERROR(VLOOKUP($I200,'Privacy Analyst Evaluation'!$A$46:$F$120,3,0),""))&amp;""</f>
        <v/>
      </c>
      <c r="L200" s="241" t="str">
        <f>IFERROR(VLOOKUP($I200,'Institution Evaluation'!$A$55:$F$345,4,0),IFERROR(VLOOKUP($I200,'Privacy Analyst Evaluation'!$A$46:$F$120,4,0),""))&amp;""</f>
        <v/>
      </c>
      <c r="M200" s="241" t="str">
        <f>IFERROR(VLOOKUP($I200,'Institution Evaluation'!$A$55:$F$345,6,0),IFERROR(VLOOKUP($I200,'Privacy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ht="17" x14ac:dyDescent="0.2">
      <c r="A201" s="241" t="str">
        <f>IFERROR(IF($A200+1&gt;'(backend scoring)'!$T$335,"",$A200+1),"")</f>
        <v/>
      </c>
      <c r="B201" s="241" t="str">
        <f>_xlfn.XLOOKUP($A201,'(backend scoring)'!$V$2:$V$333,'(backend scoring)'!$A$2:$A$333,"")</f>
        <v/>
      </c>
      <c r="C201" s="241" t="str">
        <f>IFERROR(VLOOKUP($B201,'Institution Evaluation'!$A$55:$F$345,2,0),IFERROR(VLOOKUP($B201,'Privacy Analyst Evaluation'!$A$46:$F$120,2,0),""))&amp;""</f>
        <v/>
      </c>
      <c r="D201" s="241" t="str">
        <f>IFERROR(VLOOKUP($B201,'Institution Evaluation'!$A$55:$F$345,3,0),IFERROR(VLOOKUP($B201,'Privacy Analyst Evaluation'!$A$46:$F$120,3,0),""))&amp;""</f>
        <v/>
      </c>
      <c r="E201" s="241" t="str">
        <f>IFERROR(VLOOKUP($B201,'Institution Evaluation'!$A$55:$F$345,4,0),IFERROR(VLOOKUP($B201,'Privacy Analyst Evaluation'!$A$46:$F$120,4,0),""))&amp;""</f>
        <v/>
      </c>
      <c r="F201" s="241" t="str">
        <f>IFERROR(VLOOKUP($B201,'Institution Evaluation'!$A$55:$F$345,6,0),IFERROR(VLOOKUP($B201,'Privacy Analyst Evaluation'!$A$46:$F$120,6,0),""))&amp;""</f>
        <v/>
      </c>
      <c r="G201" s="242"/>
      <c r="H201" s="241" t="str">
        <f>IFERROR(IF($H200+1&gt;'(backend scoring)'!$Q$335,"",$H200+1),"")</f>
        <v/>
      </c>
      <c r="I201" s="241" t="str">
        <f>_xlfn.XLOOKUP($H201,'(backend scoring)'!$S$2:$S$333,'(backend scoring)'!$A$2:$A$333,"")</f>
        <v/>
      </c>
      <c r="J201" s="241" t="str">
        <f>IFERROR(VLOOKUP($I201,'Institution Evaluation'!$A$55:$F$345,2,0),IFERROR(VLOOKUP($I201,'Privacy Analyst Evaluation'!$A$46:$F$120,2,0),""))</f>
        <v/>
      </c>
      <c r="K201" s="241" t="str">
        <f>IFERROR(VLOOKUP($I201,'Institution Evaluation'!$A$55:$F$345,3,0),IFERROR(VLOOKUP($I201,'Privacy Analyst Evaluation'!$A$46:$F$120,3,0),""))&amp;""</f>
        <v/>
      </c>
      <c r="L201" s="241" t="str">
        <f>IFERROR(VLOOKUP($I201,'Institution Evaluation'!$A$55:$F$345,4,0),IFERROR(VLOOKUP($I201,'Privacy Analyst Evaluation'!$A$46:$F$120,4,0),""))&amp;""</f>
        <v/>
      </c>
      <c r="M201" s="241" t="str">
        <f>IFERROR(VLOOKUP($I201,'Institution Evaluation'!$A$55:$F$345,6,0),IFERROR(VLOOKUP($I201,'Privacy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ht="17" x14ac:dyDescent="0.2">
      <c r="A202" s="241" t="str">
        <f>IFERROR(IF($A201+1&gt;'(backend scoring)'!$T$335,"",$A201+1),"")</f>
        <v/>
      </c>
      <c r="B202" s="241" t="str">
        <f>_xlfn.XLOOKUP($A202,'(backend scoring)'!$V$2:$V$333,'(backend scoring)'!$A$2:$A$333,"")</f>
        <v/>
      </c>
      <c r="C202" s="241" t="str">
        <f>IFERROR(VLOOKUP($B202,'Institution Evaluation'!$A$55:$F$345,2,0),IFERROR(VLOOKUP($B202,'Privacy Analyst Evaluation'!$A$46:$F$120,2,0),""))&amp;""</f>
        <v/>
      </c>
      <c r="D202" s="241" t="str">
        <f>IFERROR(VLOOKUP($B202,'Institution Evaluation'!$A$55:$F$345,3,0),IFERROR(VLOOKUP($B202,'Privacy Analyst Evaluation'!$A$46:$F$120,3,0),""))&amp;""</f>
        <v/>
      </c>
      <c r="E202" s="241" t="str">
        <f>IFERROR(VLOOKUP($B202,'Institution Evaluation'!$A$55:$F$345,4,0),IFERROR(VLOOKUP($B202,'Privacy Analyst Evaluation'!$A$46:$F$120,4,0),""))&amp;""</f>
        <v/>
      </c>
      <c r="F202" s="241" t="str">
        <f>IFERROR(VLOOKUP($B202,'Institution Evaluation'!$A$55:$F$345,6,0),IFERROR(VLOOKUP($B202,'Privacy Analyst Evaluation'!$A$46:$F$120,6,0),""))&amp;""</f>
        <v/>
      </c>
      <c r="G202" s="242"/>
      <c r="H202" s="241" t="str">
        <f>IFERROR(IF($H201+1&gt;'(backend scoring)'!$Q$335,"",$H201+1),"")</f>
        <v/>
      </c>
      <c r="I202" s="241" t="str">
        <f>_xlfn.XLOOKUP($H202,'(backend scoring)'!$S$2:$S$333,'(backend scoring)'!$A$2:$A$333,"")</f>
        <v/>
      </c>
      <c r="J202" s="241" t="str">
        <f>IFERROR(VLOOKUP($I202,'Institution Evaluation'!$A$55:$F$345,2,0),IFERROR(VLOOKUP($I202,'Privacy Analyst Evaluation'!$A$46:$F$120,2,0),""))</f>
        <v/>
      </c>
      <c r="K202" s="241" t="str">
        <f>IFERROR(VLOOKUP($I202,'Institution Evaluation'!$A$55:$F$345,3,0),IFERROR(VLOOKUP($I202,'Privacy Analyst Evaluation'!$A$46:$F$120,3,0),""))&amp;""</f>
        <v/>
      </c>
      <c r="L202" s="241" t="str">
        <f>IFERROR(VLOOKUP($I202,'Institution Evaluation'!$A$55:$F$345,4,0),IFERROR(VLOOKUP($I202,'Privacy Analyst Evaluation'!$A$46:$F$120,4,0),""))&amp;""</f>
        <v/>
      </c>
      <c r="M202" s="241" t="str">
        <f>IFERROR(VLOOKUP($I202,'Institution Evaluation'!$A$55:$F$345,6,0),IFERROR(VLOOKUP($I202,'Privacy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ht="17" x14ac:dyDescent="0.2">
      <c r="A203" s="241" t="str">
        <f>IFERROR(IF($A202+1&gt;'(backend scoring)'!$T$335,"",$A202+1),"")</f>
        <v/>
      </c>
      <c r="B203" s="241" t="str">
        <f>_xlfn.XLOOKUP($A203,'(backend scoring)'!$V$2:$V$333,'(backend scoring)'!$A$2:$A$333,"")</f>
        <v/>
      </c>
      <c r="C203" s="241" t="str">
        <f>IFERROR(VLOOKUP($B203,'Institution Evaluation'!$A$55:$F$345,2,0),IFERROR(VLOOKUP($B203,'Privacy Analyst Evaluation'!$A$46:$F$120,2,0),""))&amp;""</f>
        <v/>
      </c>
      <c r="D203" s="241" t="str">
        <f>IFERROR(VLOOKUP($B203,'Institution Evaluation'!$A$55:$F$345,3,0),IFERROR(VLOOKUP($B203,'Privacy Analyst Evaluation'!$A$46:$F$120,3,0),""))&amp;""</f>
        <v/>
      </c>
      <c r="E203" s="241" t="str">
        <f>IFERROR(VLOOKUP($B203,'Institution Evaluation'!$A$55:$F$345,4,0),IFERROR(VLOOKUP($B203,'Privacy Analyst Evaluation'!$A$46:$F$120,4,0),""))&amp;""</f>
        <v/>
      </c>
      <c r="F203" s="241" t="str">
        <f>IFERROR(VLOOKUP($B203,'Institution Evaluation'!$A$55:$F$345,6,0),IFERROR(VLOOKUP($B203,'Privacy Analyst Evaluation'!$A$46:$F$120,6,0),""))&amp;""</f>
        <v/>
      </c>
      <c r="G203" s="242"/>
      <c r="H203" s="241" t="str">
        <f>IFERROR(IF($H202+1&gt;'(backend scoring)'!$Q$335,"",$H202+1),"")</f>
        <v/>
      </c>
      <c r="I203" s="241" t="str">
        <f>_xlfn.XLOOKUP($H203,'(backend scoring)'!$S$2:$S$333,'(backend scoring)'!$A$2:$A$333,"")</f>
        <v/>
      </c>
      <c r="J203" s="241" t="str">
        <f>IFERROR(VLOOKUP($I203,'Institution Evaluation'!$A$55:$F$345,2,0),IFERROR(VLOOKUP($I203,'Privacy Analyst Evaluation'!$A$46:$F$120,2,0),""))</f>
        <v/>
      </c>
      <c r="K203" s="241" t="str">
        <f>IFERROR(VLOOKUP($I203,'Institution Evaluation'!$A$55:$F$345,3,0),IFERROR(VLOOKUP($I203,'Privacy Analyst Evaluation'!$A$46:$F$120,3,0),""))&amp;""</f>
        <v/>
      </c>
      <c r="L203" s="241" t="str">
        <f>IFERROR(VLOOKUP($I203,'Institution Evaluation'!$A$55:$F$345,4,0),IFERROR(VLOOKUP($I203,'Privacy Analyst Evaluation'!$A$46:$F$120,4,0),""))&amp;""</f>
        <v/>
      </c>
      <c r="M203" s="241" t="str">
        <f>IFERROR(VLOOKUP($I203,'Institution Evaluation'!$A$55:$F$345,6,0),IFERROR(VLOOKUP($I203,'Privacy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ht="17" x14ac:dyDescent="0.2">
      <c r="A204" s="241" t="str">
        <f>IFERROR(IF($A203+1&gt;'(backend scoring)'!$T$335,"",$A203+1),"")</f>
        <v/>
      </c>
      <c r="B204" s="241" t="str">
        <f>_xlfn.XLOOKUP($A204,'(backend scoring)'!$V$2:$V$333,'(backend scoring)'!$A$2:$A$333,"")</f>
        <v/>
      </c>
      <c r="C204" s="241" t="str">
        <f>IFERROR(VLOOKUP($B204,'Institution Evaluation'!$A$55:$F$345,2,0),IFERROR(VLOOKUP($B204,'Privacy Analyst Evaluation'!$A$46:$F$120,2,0),""))&amp;""</f>
        <v/>
      </c>
      <c r="D204" s="241" t="str">
        <f>IFERROR(VLOOKUP($B204,'Institution Evaluation'!$A$55:$F$345,3,0),IFERROR(VLOOKUP($B204,'Privacy Analyst Evaluation'!$A$46:$F$120,3,0),""))&amp;""</f>
        <v/>
      </c>
      <c r="E204" s="241" t="str">
        <f>IFERROR(VLOOKUP($B204,'Institution Evaluation'!$A$55:$F$345,4,0),IFERROR(VLOOKUP($B204,'Privacy Analyst Evaluation'!$A$46:$F$120,4,0),""))&amp;""</f>
        <v/>
      </c>
      <c r="F204" s="241" t="str">
        <f>IFERROR(VLOOKUP($B204,'Institution Evaluation'!$A$55:$F$345,6,0),IFERROR(VLOOKUP($B204,'Privacy Analyst Evaluation'!$A$46:$F$120,6,0),""))&amp;""</f>
        <v/>
      </c>
      <c r="G204" s="242"/>
      <c r="H204" s="241" t="str">
        <f>IFERROR(IF($H203+1&gt;'(backend scoring)'!$Q$335,"",$H203+1),"")</f>
        <v/>
      </c>
      <c r="I204" s="241" t="str">
        <f>_xlfn.XLOOKUP($H204,'(backend scoring)'!$S$2:$S$333,'(backend scoring)'!$A$2:$A$333,"")</f>
        <v/>
      </c>
      <c r="J204" s="241" t="str">
        <f>IFERROR(VLOOKUP($I204,'Institution Evaluation'!$A$55:$F$345,2,0),IFERROR(VLOOKUP($I204,'Privacy Analyst Evaluation'!$A$46:$F$120,2,0),""))</f>
        <v/>
      </c>
      <c r="K204" s="241" t="str">
        <f>IFERROR(VLOOKUP($I204,'Institution Evaluation'!$A$55:$F$345,3,0),IFERROR(VLOOKUP($I204,'Privacy Analyst Evaluation'!$A$46:$F$120,3,0),""))&amp;""</f>
        <v/>
      </c>
      <c r="L204" s="241" t="str">
        <f>IFERROR(VLOOKUP($I204,'Institution Evaluation'!$A$55:$F$345,4,0),IFERROR(VLOOKUP($I204,'Privacy Analyst Evaluation'!$A$46:$F$120,4,0),""))&amp;""</f>
        <v/>
      </c>
      <c r="M204" s="241" t="str">
        <f>IFERROR(VLOOKUP($I204,'Institution Evaluation'!$A$55:$F$345,6,0),IFERROR(VLOOKUP($I204,'Privacy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ht="17" x14ac:dyDescent="0.2">
      <c r="A205" s="241" t="str">
        <f>IFERROR(IF($A204+1&gt;'(backend scoring)'!$T$335,"",$A204+1),"")</f>
        <v/>
      </c>
      <c r="B205" s="241" t="str">
        <f>_xlfn.XLOOKUP($A205,'(backend scoring)'!$V$2:$V$333,'(backend scoring)'!$A$2:$A$333,"")</f>
        <v/>
      </c>
      <c r="C205" s="241" t="str">
        <f>IFERROR(VLOOKUP($B205,'Institution Evaluation'!$A$55:$F$345,2,0),IFERROR(VLOOKUP($B205,'Privacy Analyst Evaluation'!$A$46:$F$120,2,0),""))&amp;""</f>
        <v/>
      </c>
      <c r="D205" s="241" t="str">
        <f>IFERROR(VLOOKUP($B205,'Institution Evaluation'!$A$55:$F$345,3,0),IFERROR(VLOOKUP($B205,'Privacy Analyst Evaluation'!$A$46:$F$120,3,0),""))&amp;""</f>
        <v/>
      </c>
      <c r="E205" s="241" t="str">
        <f>IFERROR(VLOOKUP($B205,'Institution Evaluation'!$A$55:$F$345,4,0),IFERROR(VLOOKUP($B205,'Privacy Analyst Evaluation'!$A$46:$F$120,4,0),""))&amp;""</f>
        <v/>
      </c>
      <c r="F205" s="241" t="str">
        <f>IFERROR(VLOOKUP($B205,'Institution Evaluation'!$A$55:$F$345,6,0),IFERROR(VLOOKUP($B205,'Privacy Analyst Evaluation'!$A$46:$F$120,6,0),""))&amp;""</f>
        <v/>
      </c>
      <c r="G205" s="242"/>
      <c r="H205" s="241" t="str">
        <f>IFERROR(IF($H204+1&gt;'(backend scoring)'!$Q$335,"",$H204+1),"")</f>
        <v/>
      </c>
      <c r="I205" s="241" t="str">
        <f>_xlfn.XLOOKUP($H205,'(backend scoring)'!$S$2:$S$333,'(backend scoring)'!$A$2:$A$333,"")</f>
        <v/>
      </c>
      <c r="J205" s="241" t="str">
        <f>IFERROR(VLOOKUP($I205,'Institution Evaluation'!$A$55:$F$345,2,0),IFERROR(VLOOKUP($I205,'Privacy Analyst Evaluation'!$A$46:$F$120,2,0),""))</f>
        <v/>
      </c>
      <c r="K205" s="241" t="str">
        <f>IFERROR(VLOOKUP($I205,'Institution Evaluation'!$A$55:$F$345,3,0),IFERROR(VLOOKUP($I205,'Privacy Analyst Evaluation'!$A$46:$F$120,3,0),""))&amp;""</f>
        <v/>
      </c>
      <c r="L205" s="241" t="str">
        <f>IFERROR(VLOOKUP($I205,'Institution Evaluation'!$A$55:$F$345,4,0),IFERROR(VLOOKUP($I205,'Privacy Analyst Evaluation'!$A$46:$F$120,4,0),""))&amp;""</f>
        <v/>
      </c>
      <c r="M205" s="241" t="str">
        <f>IFERROR(VLOOKUP($I205,'Institution Evaluation'!$A$55:$F$345,6,0),IFERROR(VLOOKUP($I205,'Privacy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ht="17" x14ac:dyDescent="0.2">
      <c r="A206" s="241" t="str">
        <f>IFERROR(IF($A205+1&gt;'(backend scoring)'!$T$335,"",$A205+1),"")</f>
        <v/>
      </c>
      <c r="B206" s="241" t="str">
        <f>_xlfn.XLOOKUP($A206,'(backend scoring)'!$V$2:$V$333,'(backend scoring)'!$A$2:$A$333,"")</f>
        <v/>
      </c>
      <c r="C206" s="241" t="str">
        <f>IFERROR(VLOOKUP($B206,'Institution Evaluation'!$A$55:$F$345,2,0),IFERROR(VLOOKUP($B206,'Privacy Analyst Evaluation'!$A$46:$F$120,2,0),""))&amp;""</f>
        <v/>
      </c>
      <c r="D206" s="241" t="str">
        <f>IFERROR(VLOOKUP($B206,'Institution Evaluation'!$A$55:$F$345,3,0),IFERROR(VLOOKUP($B206,'Privacy Analyst Evaluation'!$A$46:$F$120,3,0),""))&amp;""</f>
        <v/>
      </c>
      <c r="E206" s="241" t="str">
        <f>IFERROR(VLOOKUP($B206,'Institution Evaluation'!$A$55:$F$345,4,0),IFERROR(VLOOKUP($B206,'Privacy Analyst Evaluation'!$A$46:$F$120,4,0),""))&amp;""</f>
        <v/>
      </c>
      <c r="F206" s="241" t="str">
        <f>IFERROR(VLOOKUP($B206,'Institution Evaluation'!$A$55:$F$345,6,0),IFERROR(VLOOKUP($B206,'Privacy Analyst Evaluation'!$A$46:$F$120,6,0),""))&amp;""</f>
        <v/>
      </c>
      <c r="G206" s="242"/>
      <c r="H206" s="241" t="str">
        <f>IFERROR(IF($H205+1&gt;'(backend scoring)'!$Q$335,"",$H205+1),"")</f>
        <v/>
      </c>
      <c r="I206" s="241" t="str">
        <f>_xlfn.XLOOKUP($H206,'(backend scoring)'!$S$2:$S$333,'(backend scoring)'!$A$2:$A$333,"")</f>
        <v/>
      </c>
      <c r="J206" s="241" t="str">
        <f>IFERROR(VLOOKUP($I206,'Institution Evaluation'!$A$55:$F$345,2,0),IFERROR(VLOOKUP($I206,'Privacy Analyst Evaluation'!$A$46:$F$120,2,0),""))</f>
        <v/>
      </c>
      <c r="K206" s="241" t="str">
        <f>IFERROR(VLOOKUP($I206,'Institution Evaluation'!$A$55:$F$345,3,0),IFERROR(VLOOKUP($I206,'Privacy Analyst Evaluation'!$A$46:$F$120,3,0),""))&amp;""</f>
        <v/>
      </c>
      <c r="L206" s="241" t="str">
        <f>IFERROR(VLOOKUP($I206,'Institution Evaluation'!$A$55:$F$345,4,0),IFERROR(VLOOKUP($I206,'Privacy Analyst Evaluation'!$A$46:$F$120,4,0),""))&amp;""</f>
        <v/>
      </c>
      <c r="M206" s="241" t="str">
        <f>IFERROR(VLOOKUP($I206,'Institution Evaluation'!$A$55:$F$345,6,0),IFERROR(VLOOKUP($I206,'Privacy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ht="17" x14ac:dyDescent="0.2">
      <c r="A207" s="241" t="str">
        <f>IFERROR(IF($A206+1&gt;'(backend scoring)'!$T$335,"",$A206+1),"")</f>
        <v/>
      </c>
      <c r="B207" s="241" t="str">
        <f>_xlfn.XLOOKUP($A207,'(backend scoring)'!$V$2:$V$333,'(backend scoring)'!$A$2:$A$333,"")</f>
        <v/>
      </c>
      <c r="C207" s="241" t="str">
        <f>IFERROR(VLOOKUP($B207,'Institution Evaluation'!$A$55:$F$345,2,0),IFERROR(VLOOKUP($B207,'Privacy Analyst Evaluation'!$A$46:$F$120,2,0),""))&amp;""</f>
        <v/>
      </c>
      <c r="D207" s="241" t="str">
        <f>IFERROR(VLOOKUP($B207,'Institution Evaluation'!$A$55:$F$345,3,0),IFERROR(VLOOKUP($B207,'Privacy Analyst Evaluation'!$A$46:$F$120,3,0),""))&amp;""</f>
        <v/>
      </c>
      <c r="E207" s="241" t="str">
        <f>IFERROR(VLOOKUP($B207,'Institution Evaluation'!$A$55:$F$345,4,0),IFERROR(VLOOKUP($B207,'Privacy Analyst Evaluation'!$A$46:$F$120,4,0),""))&amp;""</f>
        <v/>
      </c>
      <c r="F207" s="241" t="str">
        <f>IFERROR(VLOOKUP($B207,'Institution Evaluation'!$A$55:$F$345,6,0),IFERROR(VLOOKUP($B207,'Privacy Analyst Evaluation'!$A$46:$F$120,6,0),""))&amp;""</f>
        <v/>
      </c>
      <c r="G207" s="242"/>
      <c r="H207" s="241" t="str">
        <f>IFERROR(IF($H206+1&gt;'(backend scoring)'!$Q$335,"",$H206+1),"")</f>
        <v/>
      </c>
      <c r="I207" s="241" t="str">
        <f>_xlfn.XLOOKUP($H207,'(backend scoring)'!$S$2:$S$333,'(backend scoring)'!$A$2:$A$333,"")</f>
        <v/>
      </c>
      <c r="J207" s="241" t="str">
        <f>IFERROR(VLOOKUP($I207,'Institution Evaluation'!$A$55:$F$345,2,0),IFERROR(VLOOKUP($I207,'Privacy Analyst Evaluation'!$A$46:$F$120,2,0),""))</f>
        <v/>
      </c>
      <c r="K207" s="241" t="str">
        <f>IFERROR(VLOOKUP($I207,'Institution Evaluation'!$A$55:$F$345,3,0),IFERROR(VLOOKUP($I207,'Privacy Analyst Evaluation'!$A$46:$F$120,3,0),""))&amp;""</f>
        <v/>
      </c>
      <c r="L207" s="241" t="str">
        <f>IFERROR(VLOOKUP($I207,'Institution Evaluation'!$A$55:$F$345,4,0),IFERROR(VLOOKUP($I207,'Privacy Analyst Evaluation'!$A$46:$F$120,4,0),""))&amp;""</f>
        <v/>
      </c>
      <c r="M207" s="241" t="str">
        <f>IFERROR(VLOOKUP($I207,'Institution Evaluation'!$A$55:$F$345,6,0),IFERROR(VLOOKUP($I207,'Privacy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ht="17" x14ac:dyDescent="0.2">
      <c r="A208" s="241" t="str">
        <f>IFERROR(IF($A207+1&gt;'(backend scoring)'!$T$335,"",$A207+1),"")</f>
        <v/>
      </c>
      <c r="B208" s="241" t="str">
        <f>_xlfn.XLOOKUP($A208,'(backend scoring)'!$V$2:$V$333,'(backend scoring)'!$A$2:$A$333,"")</f>
        <v/>
      </c>
      <c r="C208" s="241" t="str">
        <f>IFERROR(VLOOKUP($B208,'Institution Evaluation'!$A$55:$F$345,2,0),IFERROR(VLOOKUP($B208,'Privacy Analyst Evaluation'!$A$46:$F$120,2,0),""))&amp;""</f>
        <v/>
      </c>
      <c r="D208" s="241" t="str">
        <f>IFERROR(VLOOKUP($B208,'Institution Evaluation'!$A$55:$F$345,3,0),IFERROR(VLOOKUP($B208,'Privacy Analyst Evaluation'!$A$46:$F$120,3,0),""))&amp;""</f>
        <v/>
      </c>
      <c r="E208" s="241" t="str">
        <f>IFERROR(VLOOKUP($B208,'Institution Evaluation'!$A$55:$F$345,4,0),IFERROR(VLOOKUP($B208,'Privacy Analyst Evaluation'!$A$46:$F$120,4,0),""))&amp;""</f>
        <v/>
      </c>
      <c r="F208" s="241" t="str">
        <f>IFERROR(VLOOKUP($B208,'Institution Evaluation'!$A$55:$F$345,6,0),IFERROR(VLOOKUP($B208,'Privacy Analyst Evaluation'!$A$46:$F$120,6,0),""))&amp;""</f>
        <v/>
      </c>
      <c r="G208" s="242"/>
      <c r="H208" s="241" t="str">
        <f>IFERROR(IF($H207+1&gt;'(backend scoring)'!$Q$335,"",$H207+1),"")</f>
        <v/>
      </c>
      <c r="I208" s="241" t="str">
        <f>_xlfn.XLOOKUP($H208,'(backend scoring)'!$S$2:$S$333,'(backend scoring)'!$A$2:$A$333,"")</f>
        <v/>
      </c>
      <c r="J208" s="241" t="str">
        <f>IFERROR(VLOOKUP($I208,'Institution Evaluation'!$A$55:$F$345,2,0),IFERROR(VLOOKUP($I208,'Privacy Analyst Evaluation'!$A$46:$F$120,2,0),""))</f>
        <v/>
      </c>
      <c r="K208" s="241" t="str">
        <f>IFERROR(VLOOKUP($I208,'Institution Evaluation'!$A$55:$F$345,3,0),IFERROR(VLOOKUP($I208,'Privacy Analyst Evaluation'!$A$46:$F$120,3,0),""))&amp;""</f>
        <v/>
      </c>
      <c r="L208" s="241" t="str">
        <f>IFERROR(VLOOKUP($I208,'Institution Evaluation'!$A$55:$F$345,4,0),IFERROR(VLOOKUP($I208,'Privacy Analyst Evaluation'!$A$46:$F$120,4,0),""))&amp;""</f>
        <v/>
      </c>
      <c r="M208" s="241" t="str">
        <f>IFERROR(VLOOKUP($I208,'Institution Evaluation'!$A$55:$F$345,6,0),IFERROR(VLOOKUP($I208,'Privacy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ht="17" x14ac:dyDescent="0.2">
      <c r="A209" s="241" t="str">
        <f>IFERROR(IF($A208+1&gt;'(backend scoring)'!$T$335,"",$A208+1),"")</f>
        <v/>
      </c>
      <c r="B209" s="241" t="str">
        <f>_xlfn.XLOOKUP($A209,'(backend scoring)'!$V$2:$V$333,'(backend scoring)'!$A$2:$A$333,"")</f>
        <v/>
      </c>
      <c r="C209" s="241" t="str">
        <f>IFERROR(VLOOKUP($B209,'Institution Evaluation'!$A$55:$F$345,2,0),IFERROR(VLOOKUP($B209,'Privacy Analyst Evaluation'!$A$46:$F$120,2,0),""))&amp;""</f>
        <v/>
      </c>
      <c r="D209" s="241" t="str">
        <f>IFERROR(VLOOKUP($B209,'Institution Evaluation'!$A$55:$F$345,3,0),IFERROR(VLOOKUP($B209,'Privacy Analyst Evaluation'!$A$46:$F$120,3,0),""))&amp;""</f>
        <v/>
      </c>
      <c r="E209" s="241" t="str">
        <f>IFERROR(VLOOKUP($B209,'Institution Evaluation'!$A$55:$F$345,4,0),IFERROR(VLOOKUP($B209,'Privacy Analyst Evaluation'!$A$46:$F$120,4,0),""))&amp;""</f>
        <v/>
      </c>
      <c r="F209" s="241" t="str">
        <f>IFERROR(VLOOKUP($B209,'Institution Evaluation'!$A$55:$F$345,6,0),IFERROR(VLOOKUP($B209,'Privacy Analyst Evaluation'!$A$46:$F$120,6,0),""))&amp;""</f>
        <v/>
      </c>
      <c r="G209" s="242"/>
      <c r="H209" s="241" t="str">
        <f>IFERROR(IF($H208+1&gt;'(backend scoring)'!$Q$335,"",$H208+1),"")</f>
        <v/>
      </c>
      <c r="I209" s="241" t="str">
        <f>_xlfn.XLOOKUP($H209,'(backend scoring)'!$S$2:$S$333,'(backend scoring)'!$A$2:$A$333,"")</f>
        <v/>
      </c>
      <c r="J209" s="241" t="str">
        <f>IFERROR(VLOOKUP($I209,'Institution Evaluation'!$A$55:$F$345,2,0),IFERROR(VLOOKUP($I209,'Privacy Analyst Evaluation'!$A$46:$F$120,2,0),""))</f>
        <v/>
      </c>
      <c r="K209" s="241" t="str">
        <f>IFERROR(VLOOKUP($I209,'Institution Evaluation'!$A$55:$F$345,3,0),IFERROR(VLOOKUP($I209,'Privacy Analyst Evaluation'!$A$46:$F$120,3,0),""))&amp;""</f>
        <v/>
      </c>
      <c r="L209" s="241" t="str">
        <f>IFERROR(VLOOKUP($I209,'Institution Evaluation'!$A$55:$F$345,4,0),IFERROR(VLOOKUP($I209,'Privacy Analyst Evaluation'!$A$46:$F$120,4,0),""))&amp;""</f>
        <v/>
      </c>
      <c r="M209" s="241" t="str">
        <f>IFERROR(VLOOKUP($I209,'Institution Evaluation'!$A$55:$F$345,6,0),IFERROR(VLOOKUP($I209,'Privacy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ht="17" x14ac:dyDescent="0.2">
      <c r="A210" s="241" t="str">
        <f>IFERROR(IF($A209+1&gt;'(backend scoring)'!$T$335,"",$A209+1),"")</f>
        <v/>
      </c>
      <c r="B210" s="241" t="str">
        <f>_xlfn.XLOOKUP($A210,'(backend scoring)'!$V$2:$V$333,'(backend scoring)'!$A$2:$A$333,"")</f>
        <v/>
      </c>
      <c r="C210" s="241" t="str">
        <f>IFERROR(VLOOKUP($B210,'Institution Evaluation'!$A$55:$F$345,2,0),IFERROR(VLOOKUP($B210,'Privacy Analyst Evaluation'!$A$46:$F$120,2,0),""))&amp;""</f>
        <v/>
      </c>
      <c r="D210" s="241" t="str">
        <f>IFERROR(VLOOKUP($B210,'Institution Evaluation'!$A$55:$F$345,3,0),IFERROR(VLOOKUP($B210,'Privacy Analyst Evaluation'!$A$46:$F$120,3,0),""))&amp;""</f>
        <v/>
      </c>
      <c r="E210" s="241" t="str">
        <f>IFERROR(VLOOKUP($B210,'Institution Evaluation'!$A$55:$F$345,4,0),IFERROR(VLOOKUP($B210,'Privacy Analyst Evaluation'!$A$46:$F$120,4,0),""))&amp;""</f>
        <v/>
      </c>
      <c r="F210" s="241" t="str">
        <f>IFERROR(VLOOKUP($B210,'Institution Evaluation'!$A$55:$F$345,6,0),IFERROR(VLOOKUP($B210,'Privacy Analyst Evaluation'!$A$46:$F$120,6,0),""))&amp;""</f>
        <v/>
      </c>
      <c r="G210" s="242"/>
      <c r="H210" s="241" t="str">
        <f>IFERROR(IF($H209+1&gt;'(backend scoring)'!$Q$335,"",$H209+1),"")</f>
        <v/>
      </c>
      <c r="I210" s="241" t="str">
        <f>_xlfn.XLOOKUP($H210,'(backend scoring)'!$S$2:$S$333,'(backend scoring)'!$A$2:$A$333,"")</f>
        <v/>
      </c>
      <c r="J210" s="241" t="str">
        <f>IFERROR(VLOOKUP($I210,'Institution Evaluation'!$A$55:$F$345,2,0),IFERROR(VLOOKUP($I210,'Privacy Analyst Evaluation'!$A$46:$F$120,2,0),""))</f>
        <v/>
      </c>
      <c r="K210" s="241" t="str">
        <f>IFERROR(VLOOKUP($I210,'Institution Evaluation'!$A$55:$F$345,3,0),IFERROR(VLOOKUP($I210,'Privacy Analyst Evaluation'!$A$46:$F$120,3,0),""))&amp;""</f>
        <v/>
      </c>
      <c r="L210" s="241" t="str">
        <f>IFERROR(VLOOKUP($I210,'Institution Evaluation'!$A$55:$F$345,4,0),IFERROR(VLOOKUP($I210,'Privacy Analyst Evaluation'!$A$46:$F$120,4,0),""))&amp;""</f>
        <v/>
      </c>
      <c r="M210" s="241" t="str">
        <f>IFERROR(VLOOKUP($I210,'Institution Evaluation'!$A$55:$F$345,6,0),IFERROR(VLOOKUP($I210,'Privacy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ht="17" x14ac:dyDescent="0.2">
      <c r="A211" s="241" t="str">
        <f>IFERROR(IF($A210+1&gt;'(backend scoring)'!$T$335,"",$A210+1),"")</f>
        <v/>
      </c>
      <c r="B211" s="241" t="str">
        <f>_xlfn.XLOOKUP($A211,'(backend scoring)'!$V$2:$V$333,'(backend scoring)'!$A$2:$A$333,"")</f>
        <v/>
      </c>
      <c r="C211" s="241" t="str">
        <f>IFERROR(VLOOKUP($B211,'Institution Evaluation'!$A$55:$F$345,2,0),IFERROR(VLOOKUP($B211,'Privacy Analyst Evaluation'!$A$46:$F$120,2,0),""))&amp;""</f>
        <v/>
      </c>
      <c r="D211" s="241" t="str">
        <f>IFERROR(VLOOKUP($B211,'Institution Evaluation'!$A$55:$F$345,3,0),IFERROR(VLOOKUP($B211,'Privacy Analyst Evaluation'!$A$46:$F$120,3,0),""))&amp;""</f>
        <v/>
      </c>
      <c r="E211" s="241" t="str">
        <f>IFERROR(VLOOKUP($B211,'Institution Evaluation'!$A$55:$F$345,4,0),IFERROR(VLOOKUP($B211,'Privacy Analyst Evaluation'!$A$46:$F$120,4,0),""))&amp;""</f>
        <v/>
      </c>
      <c r="F211" s="241" t="str">
        <f>IFERROR(VLOOKUP($B211,'Institution Evaluation'!$A$55:$F$345,6,0),IFERROR(VLOOKUP($B211,'Privacy Analyst Evaluation'!$A$46:$F$120,6,0),""))&amp;""</f>
        <v/>
      </c>
      <c r="G211" s="242"/>
      <c r="H211" s="241" t="str">
        <f>IFERROR(IF($H210+1&gt;'(backend scoring)'!$Q$335,"",$H210+1),"")</f>
        <v/>
      </c>
      <c r="I211" s="241" t="str">
        <f>_xlfn.XLOOKUP($H211,'(backend scoring)'!$S$2:$S$333,'(backend scoring)'!$A$2:$A$333,"")</f>
        <v/>
      </c>
      <c r="J211" s="241" t="str">
        <f>IFERROR(VLOOKUP($I211,'Institution Evaluation'!$A$55:$F$345,2,0),IFERROR(VLOOKUP($I211,'Privacy Analyst Evaluation'!$A$46:$F$120,2,0),""))</f>
        <v/>
      </c>
      <c r="K211" s="241" t="str">
        <f>IFERROR(VLOOKUP($I211,'Institution Evaluation'!$A$55:$F$345,3,0),IFERROR(VLOOKUP($I211,'Privacy Analyst Evaluation'!$A$46:$F$120,3,0),""))&amp;""</f>
        <v/>
      </c>
      <c r="L211" s="241" t="str">
        <f>IFERROR(VLOOKUP($I211,'Institution Evaluation'!$A$55:$F$345,4,0),IFERROR(VLOOKUP($I211,'Privacy Analyst Evaluation'!$A$46:$F$120,4,0),""))&amp;""</f>
        <v/>
      </c>
      <c r="M211" s="241" t="str">
        <f>IFERROR(VLOOKUP($I211,'Institution Evaluation'!$A$55:$F$345,6,0),IFERROR(VLOOKUP($I211,'Privacy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ht="17" x14ac:dyDescent="0.2">
      <c r="A212" s="241" t="str">
        <f>IFERROR(IF($A211+1&gt;'(backend scoring)'!$T$335,"",$A211+1),"")</f>
        <v/>
      </c>
      <c r="B212" s="241" t="str">
        <f>_xlfn.XLOOKUP($A212,'(backend scoring)'!$V$2:$V$333,'(backend scoring)'!$A$2:$A$333,"")</f>
        <v/>
      </c>
      <c r="C212" s="241" t="str">
        <f>IFERROR(VLOOKUP($B212,'Institution Evaluation'!$A$55:$F$345,2,0),IFERROR(VLOOKUP($B212,'Privacy Analyst Evaluation'!$A$46:$F$120,2,0),""))&amp;""</f>
        <v/>
      </c>
      <c r="D212" s="241" t="str">
        <f>IFERROR(VLOOKUP($B212,'Institution Evaluation'!$A$55:$F$345,3,0),IFERROR(VLOOKUP($B212,'Privacy Analyst Evaluation'!$A$46:$F$120,3,0),""))&amp;""</f>
        <v/>
      </c>
      <c r="E212" s="241" t="str">
        <f>IFERROR(VLOOKUP($B212,'Institution Evaluation'!$A$55:$F$345,4,0),IFERROR(VLOOKUP($B212,'Privacy Analyst Evaluation'!$A$46:$F$120,4,0),""))&amp;""</f>
        <v/>
      </c>
      <c r="F212" s="241" t="str">
        <f>IFERROR(VLOOKUP($B212,'Institution Evaluation'!$A$55:$F$345,6,0),IFERROR(VLOOKUP($B212,'Privacy Analyst Evaluation'!$A$46:$F$120,6,0),""))&amp;""</f>
        <v/>
      </c>
      <c r="G212" s="242"/>
      <c r="H212" s="241" t="str">
        <f>IFERROR(IF($H211+1&gt;'(backend scoring)'!$Q$335,"",$H211+1),"")</f>
        <v/>
      </c>
      <c r="I212" s="241" t="str">
        <f>_xlfn.XLOOKUP($H212,'(backend scoring)'!$S$2:$S$333,'(backend scoring)'!$A$2:$A$333,"")</f>
        <v/>
      </c>
      <c r="J212" s="241" t="str">
        <f>IFERROR(VLOOKUP($I212,'Institution Evaluation'!$A$55:$F$345,2,0),IFERROR(VLOOKUP($I212,'Privacy Analyst Evaluation'!$A$46:$F$120,2,0),""))</f>
        <v/>
      </c>
      <c r="K212" s="241" t="str">
        <f>IFERROR(VLOOKUP($I212,'Institution Evaluation'!$A$55:$F$345,3,0),IFERROR(VLOOKUP($I212,'Privacy Analyst Evaluation'!$A$46:$F$120,3,0),""))&amp;""</f>
        <v/>
      </c>
      <c r="L212" s="241" t="str">
        <f>IFERROR(VLOOKUP($I212,'Institution Evaluation'!$A$55:$F$345,4,0),IFERROR(VLOOKUP($I212,'Privacy Analyst Evaluation'!$A$46:$F$120,4,0),""))&amp;""</f>
        <v/>
      </c>
      <c r="M212" s="241" t="str">
        <f>IFERROR(VLOOKUP($I212,'Institution Evaluation'!$A$55:$F$345,6,0),IFERROR(VLOOKUP($I212,'Privacy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ht="17" x14ac:dyDescent="0.2">
      <c r="A213" s="241" t="str">
        <f>IFERROR(IF($A212+1&gt;'(backend scoring)'!$T$335,"",$A212+1),"")</f>
        <v/>
      </c>
      <c r="B213" s="241" t="str">
        <f>_xlfn.XLOOKUP($A213,'(backend scoring)'!$V$2:$V$333,'(backend scoring)'!$A$2:$A$333,"")</f>
        <v/>
      </c>
      <c r="C213" s="241" t="str">
        <f>IFERROR(VLOOKUP($B213,'Institution Evaluation'!$A$55:$F$345,2,0),IFERROR(VLOOKUP($B213,'Privacy Analyst Evaluation'!$A$46:$F$120,2,0),""))&amp;""</f>
        <v/>
      </c>
      <c r="D213" s="241" t="str">
        <f>IFERROR(VLOOKUP($B213,'Institution Evaluation'!$A$55:$F$345,3,0),IFERROR(VLOOKUP($B213,'Privacy Analyst Evaluation'!$A$46:$F$120,3,0),""))&amp;""</f>
        <v/>
      </c>
      <c r="E213" s="241" t="str">
        <f>IFERROR(VLOOKUP($B213,'Institution Evaluation'!$A$55:$F$345,4,0),IFERROR(VLOOKUP($B213,'Privacy Analyst Evaluation'!$A$46:$F$120,4,0),""))&amp;""</f>
        <v/>
      </c>
      <c r="F213" s="241" t="str">
        <f>IFERROR(VLOOKUP($B213,'Institution Evaluation'!$A$55:$F$345,6,0),IFERROR(VLOOKUP($B213,'Privacy Analyst Evaluation'!$A$46:$F$120,6,0),""))&amp;""</f>
        <v/>
      </c>
      <c r="G213" s="242"/>
      <c r="H213" s="241" t="str">
        <f>IFERROR(IF($H212+1&gt;'(backend scoring)'!$Q$335,"",$H212+1),"")</f>
        <v/>
      </c>
      <c r="I213" s="241" t="str">
        <f>_xlfn.XLOOKUP($H213,'(backend scoring)'!$S$2:$S$333,'(backend scoring)'!$A$2:$A$333,"")</f>
        <v/>
      </c>
      <c r="J213" s="241" t="str">
        <f>IFERROR(VLOOKUP($I213,'Institution Evaluation'!$A$55:$F$345,2,0),IFERROR(VLOOKUP($I213,'Privacy Analyst Evaluation'!$A$46:$F$120,2,0),""))</f>
        <v/>
      </c>
      <c r="K213" s="241" t="str">
        <f>IFERROR(VLOOKUP($I213,'Institution Evaluation'!$A$55:$F$345,3,0),IFERROR(VLOOKUP($I213,'Privacy Analyst Evaluation'!$A$46:$F$120,3,0),""))&amp;""</f>
        <v/>
      </c>
      <c r="L213" s="241" t="str">
        <f>IFERROR(VLOOKUP($I213,'Institution Evaluation'!$A$55:$F$345,4,0),IFERROR(VLOOKUP($I213,'Privacy Analyst Evaluation'!$A$46:$F$120,4,0),""))&amp;""</f>
        <v/>
      </c>
      <c r="M213" s="241" t="str">
        <f>IFERROR(VLOOKUP($I213,'Institution Evaluation'!$A$55:$F$345,6,0),IFERROR(VLOOKUP($I213,'Privacy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ht="17" x14ac:dyDescent="0.2">
      <c r="A214" s="241" t="str">
        <f>IFERROR(IF($A213+1&gt;'(backend scoring)'!$T$335,"",$A213+1),"")</f>
        <v/>
      </c>
      <c r="B214" s="241" t="str">
        <f>_xlfn.XLOOKUP($A214,'(backend scoring)'!$V$2:$V$333,'(backend scoring)'!$A$2:$A$333,"")</f>
        <v/>
      </c>
      <c r="C214" s="241" t="str">
        <f>IFERROR(VLOOKUP($B214,'Institution Evaluation'!$A$55:$F$345,2,0),IFERROR(VLOOKUP($B214,'Privacy Analyst Evaluation'!$A$46:$F$120,2,0),""))&amp;""</f>
        <v/>
      </c>
      <c r="D214" s="241" t="str">
        <f>IFERROR(VLOOKUP($B214,'Institution Evaluation'!$A$55:$F$345,3,0),IFERROR(VLOOKUP($B214,'Privacy Analyst Evaluation'!$A$46:$F$120,3,0),""))&amp;""</f>
        <v/>
      </c>
      <c r="E214" s="241" t="str">
        <f>IFERROR(VLOOKUP($B214,'Institution Evaluation'!$A$55:$F$345,4,0),IFERROR(VLOOKUP($B214,'Privacy Analyst Evaluation'!$A$46:$F$120,4,0),""))&amp;""</f>
        <v/>
      </c>
      <c r="F214" s="241" t="str">
        <f>IFERROR(VLOOKUP($B214,'Institution Evaluation'!$A$55:$F$345,6,0),IFERROR(VLOOKUP($B214,'Privacy Analyst Evaluation'!$A$46:$F$120,6,0),""))&amp;""</f>
        <v/>
      </c>
      <c r="G214" s="242"/>
      <c r="H214" s="241" t="str">
        <f>IFERROR(IF($H213+1&gt;'(backend scoring)'!$Q$335,"",$H213+1),"")</f>
        <v/>
      </c>
      <c r="I214" s="241" t="str">
        <f>_xlfn.XLOOKUP($H214,'(backend scoring)'!$S$2:$S$333,'(backend scoring)'!$A$2:$A$333,"")</f>
        <v/>
      </c>
      <c r="J214" s="241" t="str">
        <f>IFERROR(VLOOKUP($I214,'Institution Evaluation'!$A$55:$F$345,2,0),IFERROR(VLOOKUP($I214,'Privacy Analyst Evaluation'!$A$46:$F$120,2,0),""))</f>
        <v/>
      </c>
      <c r="K214" s="241" t="str">
        <f>IFERROR(VLOOKUP($I214,'Institution Evaluation'!$A$55:$F$345,3,0),IFERROR(VLOOKUP($I214,'Privacy Analyst Evaluation'!$A$46:$F$120,3,0),""))&amp;""</f>
        <v/>
      </c>
      <c r="L214" s="241" t="str">
        <f>IFERROR(VLOOKUP($I214,'Institution Evaluation'!$A$55:$F$345,4,0),IFERROR(VLOOKUP($I214,'Privacy Analyst Evaluation'!$A$46:$F$120,4,0),""))&amp;""</f>
        <v/>
      </c>
      <c r="M214" s="241" t="str">
        <f>IFERROR(VLOOKUP($I214,'Institution Evaluation'!$A$55:$F$345,6,0),IFERROR(VLOOKUP($I214,'Privacy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ht="17" x14ac:dyDescent="0.2">
      <c r="A215" s="241" t="str">
        <f>IFERROR(IF($A214+1&gt;'(backend scoring)'!$T$335,"",$A214+1),"")</f>
        <v/>
      </c>
      <c r="B215" s="241" t="str">
        <f>_xlfn.XLOOKUP($A215,'(backend scoring)'!$V$2:$V$333,'(backend scoring)'!$A$2:$A$333,"")</f>
        <v/>
      </c>
      <c r="C215" s="241" t="str">
        <f>IFERROR(VLOOKUP($B215,'Institution Evaluation'!$A$55:$F$345,2,0),IFERROR(VLOOKUP($B215,'Privacy Analyst Evaluation'!$A$46:$F$120,2,0),""))&amp;""</f>
        <v/>
      </c>
      <c r="D215" s="241" t="str">
        <f>IFERROR(VLOOKUP($B215,'Institution Evaluation'!$A$55:$F$345,3,0),IFERROR(VLOOKUP($B215,'Privacy Analyst Evaluation'!$A$46:$F$120,3,0),""))&amp;""</f>
        <v/>
      </c>
      <c r="E215" s="241" t="str">
        <f>IFERROR(VLOOKUP($B215,'Institution Evaluation'!$A$55:$F$345,4,0),IFERROR(VLOOKUP($B215,'Privacy Analyst Evaluation'!$A$46:$F$120,4,0),""))&amp;""</f>
        <v/>
      </c>
      <c r="F215" s="241" t="str">
        <f>IFERROR(VLOOKUP($B215,'Institution Evaluation'!$A$55:$F$345,6,0),IFERROR(VLOOKUP($B215,'Privacy Analyst Evaluation'!$A$46:$F$120,6,0),""))&amp;""</f>
        <v/>
      </c>
      <c r="G215" s="242"/>
      <c r="H215" s="241" t="str">
        <f>IFERROR(IF($H214+1&gt;'(backend scoring)'!$Q$335,"",$H214+1),"")</f>
        <v/>
      </c>
      <c r="I215" s="241" t="str">
        <f>_xlfn.XLOOKUP($H215,'(backend scoring)'!$S$2:$S$333,'(backend scoring)'!$A$2:$A$333,"")</f>
        <v/>
      </c>
      <c r="J215" s="241" t="str">
        <f>IFERROR(VLOOKUP($I215,'Institution Evaluation'!$A$55:$F$345,2,0),IFERROR(VLOOKUP($I215,'Privacy Analyst Evaluation'!$A$46:$F$120,2,0),""))</f>
        <v/>
      </c>
      <c r="K215" s="241" t="str">
        <f>IFERROR(VLOOKUP($I215,'Institution Evaluation'!$A$55:$F$345,3,0),IFERROR(VLOOKUP($I215,'Privacy Analyst Evaluation'!$A$46:$F$120,3,0),""))&amp;""</f>
        <v/>
      </c>
      <c r="L215" s="241" t="str">
        <f>IFERROR(VLOOKUP($I215,'Institution Evaluation'!$A$55:$F$345,4,0),IFERROR(VLOOKUP($I215,'Privacy Analyst Evaluation'!$A$46:$F$120,4,0),""))&amp;""</f>
        <v/>
      </c>
      <c r="M215" s="241" t="str">
        <f>IFERROR(VLOOKUP($I215,'Institution Evaluation'!$A$55:$F$345,6,0),IFERROR(VLOOKUP($I215,'Privacy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ht="17" x14ac:dyDescent="0.2">
      <c r="A216" s="241" t="str">
        <f>IFERROR(IF($A215+1&gt;'(backend scoring)'!$T$335,"",$A215+1),"")</f>
        <v/>
      </c>
      <c r="B216" s="241" t="str">
        <f>_xlfn.XLOOKUP($A216,'(backend scoring)'!$V$2:$V$333,'(backend scoring)'!$A$2:$A$333,"")</f>
        <v/>
      </c>
      <c r="C216" s="241" t="str">
        <f>IFERROR(VLOOKUP($B216,'Institution Evaluation'!$A$55:$F$345,2,0),IFERROR(VLOOKUP($B216,'Privacy Analyst Evaluation'!$A$46:$F$120,2,0),""))&amp;""</f>
        <v/>
      </c>
      <c r="D216" s="241" t="str">
        <f>IFERROR(VLOOKUP($B216,'Institution Evaluation'!$A$55:$F$345,3,0),IFERROR(VLOOKUP($B216,'Privacy Analyst Evaluation'!$A$46:$F$120,3,0),""))&amp;""</f>
        <v/>
      </c>
      <c r="E216" s="241" t="str">
        <f>IFERROR(VLOOKUP($B216,'Institution Evaluation'!$A$55:$F$345,4,0),IFERROR(VLOOKUP($B216,'Privacy Analyst Evaluation'!$A$46:$F$120,4,0),""))&amp;""</f>
        <v/>
      </c>
      <c r="F216" s="241" t="str">
        <f>IFERROR(VLOOKUP($B216,'Institution Evaluation'!$A$55:$F$345,6,0),IFERROR(VLOOKUP($B216,'Privacy Analyst Evaluation'!$A$46:$F$120,6,0),""))&amp;""</f>
        <v/>
      </c>
      <c r="G216" s="242"/>
      <c r="H216" s="241" t="str">
        <f>IFERROR(IF($H215+1&gt;'(backend scoring)'!$Q$335,"",$H215+1),"")</f>
        <v/>
      </c>
      <c r="I216" s="241" t="str">
        <f>_xlfn.XLOOKUP($H216,'(backend scoring)'!$S$2:$S$333,'(backend scoring)'!$A$2:$A$333,"")</f>
        <v/>
      </c>
      <c r="J216" s="241" t="str">
        <f>IFERROR(VLOOKUP($I216,'Institution Evaluation'!$A$55:$F$345,2,0),IFERROR(VLOOKUP($I216,'Privacy Analyst Evaluation'!$A$46:$F$120,2,0),""))</f>
        <v/>
      </c>
      <c r="K216" s="241" t="str">
        <f>IFERROR(VLOOKUP($I216,'Institution Evaluation'!$A$55:$F$345,3,0),IFERROR(VLOOKUP($I216,'Privacy Analyst Evaluation'!$A$46:$F$120,3,0),""))&amp;""</f>
        <v/>
      </c>
      <c r="L216" s="241" t="str">
        <f>IFERROR(VLOOKUP($I216,'Institution Evaluation'!$A$55:$F$345,4,0),IFERROR(VLOOKUP($I216,'Privacy Analyst Evaluation'!$A$46:$F$120,4,0),""))&amp;""</f>
        <v/>
      </c>
      <c r="M216" s="241" t="str">
        <f>IFERROR(VLOOKUP($I216,'Institution Evaluation'!$A$55:$F$345,6,0),IFERROR(VLOOKUP($I216,'Privacy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ht="17" x14ac:dyDescent="0.2">
      <c r="A217" s="241" t="str">
        <f>IFERROR(IF($A216+1&gt;'(backend scoring)'!$T$335,"",$A216+1),"")</f>
        <v/>
      </c>
      <c r="B217" s="241" t="str">
        <f>_xlfn.XLOOKUP($A217,'(backend scoring)'!$V$2:$V$333,'(backend scoring)'!$A$2:$A$333,"")</f>
        <v/>
      </c>
      <c r="C217" s="241" t="str">
        <f>IFERROR(VLOOKUP($B217,'Institution Evaluation'!$A$55:$F$345,2,0),IFERROR(VLOOKUP($B217,'Privacy Analyst Evaluation'!$A$46:$F$120,2,0),""))&amp;""</f>
        <v/>
      </c>
      <c r="D217" s="241" t="str">
        <f>IFERROR(VLOOKUP($B217,'Institution Evaluation'!$A$55:$F$345,3,0),IFERROR(VLOOKUP($B217,'Privacy Analyst Evaluation'!$A$46:$F$120,3,0),""))&amp;""</f>
        <v/>
      </c>
      <c r="E217" s="241" t="str">
        <f>IFERROR(VLOOKUP($B217,'Institution Evaluation'!$A$55:$F$345,4,0),IFERROR(VLOOKUP($B217,'Privacy Analyst Evaluation'!$A$46:$F$120,4,0),""))&amp;""</f>
        <v/>
      </c>
      <c r="F217" s="241" t="str">
        <f>IFERROR(VLOOKUP($B217,'Institution Evaluation'!$A$55:$F$345,6,0),IFERROR(VLOOKUP($B217,'Privacy Analyst Evaluation'!$A$46:$F$120,6,0),""))&amp;""</f>
        <v/>
      </c>
      <c r="G217" s="242"/>
      <c r="H217" s="241" t="str">
        <f>IFERROR(IF($H216+1&gt;'(backend scoring)'!$Q$335,"",$H216+1),"")</f>
        <v/>
      </c>
      <c r="I217" s="241" t="str">
        <f>_xlfn.XLOOKUP($H217,'(backend scoring)'!$S$2:$S$333,'(backend scoring)'!$A$2:$A$333,"")</f>
        <v/>
      </c>
      <c r="J217" s="241" t="str">
        <f>IFERROR(VLOOKUP($I217,'Institution Evaluation'!$A$55:$F$345,2,0),IFERROR(VLOOKUP($I217,'Privacy Analyst Evaluation'!$A$46:$F$120,2,0),""))</f>
        <v/>
      </c>
      <c r="K217" s="241" t="str">
        <f>IFERROR(VLOOKUP($I217,'Institution Evaluation'!$A$55:$F$345,3,0),IFERROR(VLOOKUP($I217,'Privacy Analyst Evaluation'!$A$46:$F$120,3,0),""))&amp;""</f>
        <v/>
      </c>
      <c r="L217" s="241" t="str">
        <f>IFERROR(VLOOKUP($I217,'Institution Evaluation'!$A$55:$F$345,4,0),IFERROR(VLOOKUP($I217,'Privacy Analyst Evaluation'!$A$46:$F$120,4,0),""))&amp;""</f>
        <v/>
      </c>
      <c r="M217" s="241" t="str">
        <f>IFERROR(VLOOKUP($I217,'Institution Evaluation'!$A$55:$F$345,6,0),IFERROR(VLOOKUP($I217,'Privacy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ht="17" x14ac:dyDescent="0.2">
      <c r="A218" s="241" t="str">
        <f>IFERROR(IF($A217+1&gt;'(backend scoring)'!$T$335,"",$A217+1),"")</f>
        <v/>
      </c>
      <c r="B218" s="241" t="str">
        <f>_xlfn.XLOOKUP($A218,'(backend scoring)'!$V$2:$V$333,'(backend scoring)'!$A$2:$A$333,"")</f>
        <v/>
      </c>
      <c r="C218" s="241" t="str">
        <f>IFERROR(VLOOKUP($B218,'Institution Evaluation'!$A$55:$F$345,2,0),IFERROR(VLOOKUP($B218,'Privacy Analyst Evaluation'!$A$46:$F$120,2,0),""))&amp;""</f>
        <v/>
      </c>
      <c r="D218" s="241" t="str">
        <f>IFERROR(VLOOKUP($B218,'Institution Evaluation'!$A$55:$F$345,3,0),IFERROR(VLOOKUP($B218,'Privacy Analyst Evaluation'!$A$46:$F$120,3,0),""))&amp;""</f>
        <v/>
      </c>
      <c r="E218" s="241" t="str">
        <f>IFERROR(VLOOKUP($B218,'Institution Evaluation'!$A$55:$F$345,4,0),IFERROR(VLOOKUP($B218,'Privacy Analyst Evaluation'!$A$46:$F$120,4,0),""))&amp;""</f>
        <v/>
      </c>
      <c r="F218" s="241" t="str">
        <f>IFERROR(VLOOKUP($B218,'Institution Evaluation'!$A$55:$F$345,6,0),IFERROR(VLOOKUP($B218,'Privacy Analyst Evaluation'!$A$46:$F$120,6,0),""))&amp;""</f>
        <v/>
      </c>
      <c r="G218" s="242"/>
      <c r="H218" s="241" t="str">
        <f>IFERROR(IF($H217+1&gt;'(backend scoring)'!$Q$335,"",$H217+1),"")</f>
        <v/>
      </c>
      <c r="I218" s="241" t="str">
        <f>_xlfn.XLOOKUP($H218,'(backend scoring)'!$S$2:$S$333,'(backend scoring)'!$A$2:$A$333,"")</f>
        <v/>
      </c>
      <c r="J218" s="241" t="str">
        <f>IFERROR(VLOOKUP($I218,'Institution Evaluation'!$A$55:$F$345,2,0),IFERROR(VLOOKUP($I218,'Privacy Analyst Evaluation'!$A$46:$F$120,2,0),""))</f>
        <v/>
      </c>
      <c r="K218" s="241" t="str">
        <f>IFERROR(VLOOKUP($I218,'Institution Evaluation'!$A$55:$F$345,3,0),IFERROR(VLOOKUP($I218,'Privacy Analyst Evaluation'!$A$46:$F$120,3,0),""))&amp;""</f>
        <v/>
      </c>
      <c r="L218" s="241" t="str">
        <f>IFERROR(VLOOKUP($I218,'Institution Evaluation'!$A$55:$F$345,4,0),IFERROR(VLOOKUP($I218,'Privacy Analyst Evaluation'!$A$46:$F$120,4,0),""))&amp;""</f>
        <v/>
      </c>
      <c r="M218" s="241" t="str">
        <f>IFERROR(VLOOKUP($I218,'Institution Evaluation'!$A$55:$F$345,6,0),IFERROR(VLOOKUP($I218,'Privacy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ht="17" x14ac:dyDescent="0.2">
      <c r="A219" s="241" t="str">
        <f>IFERROR(IF($A218+1&gt;'(backend scoring)'!$T$335,"",$A218+1),"")</f>
        <v/>
      </c>
      <c r="B219" s="241" t="str">
        <f>_xlfn.XLOOKUP($A219,'(backend scoring)'!$V$2:$V$333,'(backend scoring)'!$A$2:$A$333,"")</f>
        <v/>
      </c>
      <c r="C219" s="241" t="str">
        <f>IFERROR(VLOOKUP($B219,'Institution Evaluation'!$A$55:$F$345,2,0),IFERROR(VLOOKUP($B219,'Privacy Analyst Evaluation'!$A$46:$F$120,2,0),""))&amp;""</f>
        <v/>
      </c>
      <c r="D219" s="241" t="str">
        <f>IFERROR(VLOOKUP($B219,'Institution Evaluation'!$A$55:$F$345,3,0),IFERROR(VLOOKUP($B219,'Privacy Analyst Evaluation'!$A$46:$F$120,3,0),""))&amp;""</f>
        <v/>
      </c>
      <c r="E219" s="241" t="str">
        <f>IFERROR(VLOOKUP($B219,'Institution Evaluation'!$A$55:$F$345,4,0),IFERROR(VLOOKUP($B219,'Privacy Analyst Evaluation'!$A$46:$F$120,4,0),""))&amp;""</f>
        <v/>
      </c>
      <c r="F219" s="241" t="str">
        <f>IFERROR(VLOOKUP($B219,'Institution Evaluation'!$A$55:$F$345,6,0),IFERROR(VLOOKUP($B219,'Privacy Analyst Evaluation'!$A$46:$F$120,6,0),""))&amp;""</f>
        <v/>
      </c>
      <c r="G219" s="242"/>
      <c r="H219" s="241" t="str">
        <f>IFERROR(IF($H218+1&gt;'(backend scoring)'!$Q$335,"",$H218+1),"")</f>
        <v/>
      </c>
      <c r="I219" s="241" t="str">
        <f>_xlfn.XLOOKUP($H219,'(backend scoring)'!$S$2:$S$333,'(backend scoring)'!$A$2:$A$333,"")</f>
        <v/>
      </c>
      <c r="J219" s="241" t="str">
        <f>IFERROR(VLOOKUP($I219,'Institution Evaluation'!$A$55:$F$345,2,0),IFERROR(VLOOKUP($I219,'Privacy Analyst Evaluation'!$A$46:$F$120,2,0),""))</f>
        <v/>
      </c>
      <c r="K219" s="241" t="str">
        <f>IFERROR(VLOOKUP($I219,'Institution Evaluation'!$A$55:$F$345,3,0),IFERROR(VLOOKUP($I219,'Privacy Analyst Evaluation'!$A$46:$F$120,3,0),""))&amp;""</f>
        <v/>
      </c>
      <c r="L219" s="241" t="str">
        <f>IFERROR(VLOOKUP($I219,'Institution Evaluation'!$A$55:$F$345,4,0),IFERROR(VLOOKUP($I219,'Privacy Analyst Evaluation'!$A$46:$F$120,4,0),""))&amp;""</f>
        <v/>
      </c>
      <c r="M219" s="241" t="str">
        <f>IFERROR(VLOOKUP($I219,'Institution Evaluation'!$A$55:$F$345,6,0),IFERROR(VLOOKUP($I219,'Privacy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ht="17" x14ac:dyDescent="0.2">
      <c r="A220" s="241" t="str">
        <f>IFERROR(IF($A219+1&gt;'(backend scoring)'!$T$335,"",$A219+1),"")</f>
        <v/>
      </c>
      <c r="B220" s="241" t="str">
        <f>_xlfn.XLOOKUP($A220,'(backend scoring)'!$V$2:$V$333,'(backend scoring)'!$A$2:$A$333,"")</f>
        <v/>
      </c>
      <c r="C220" s="241" t="str">
        <f>IFERROR(VLOOKUP($B220,'Institution Evaluation'!$A$55:$F$345,2,0),IFERROR(VLOOKUP($B220,'Privacy Analyst Evaluation'!$A$46:$F$120,2,0),""))&amp;""</f>
        <v/>
      </c>
      <c r="D220" s="241" t="str">
        <f>IFERROR(VLOOKUP($B220,'Institution Evaluation'!$A$55:$F$345,3,0),IFERROR(VLOOKUP($B220,'Privacy Analyst Evaluation'!$A$46:$F$120,3,0),""))&amp;""</f>
        <v/>
      </c>
      <c r="E220" s="241" t="str">
        <f>IFERROR(VLOOKUP($B220,'Institution Evaluation'!$A$55:$F$345,4,0),IFERROR(VLOOKUP($B220,'Privacy Analyst Evaluation'!$A$46:$F$120,4,0),""))&amp;""</f>
        <v/>
      </c>
      <c r="F220" s="241" t="str">
        <f>IFERROR(VLOOKUP($B220,'Institution Evaluation'!$A$55:$F$345,6,0),IFERROR(VLOOKUP($B220,'Privacy Analyst Evaluation'!$A$46:$F$120,6,0),""))&amp;""</f>
        <v/>
      </c>
      <c r="G220" s="242"/>
      <c r="H220" s="241" t="str">
        <f>IFERROR(IF($H219+1&gt;'(backend scoring)'!$Q$335,"",$H219+1),"")</f>
        <v/>
      </c>
      <c r="I220" s="241" t="str">
        <f>_xlfn.XLOOKUP($H220,'(backend scoring)'!$S$2:$S$333,'(backend scoring)'!$A$2:$A$333,"")</f>
        <v/>
      </c>
      <c r="J220" s="241" t="str">
        <f>IFERROR(VLOOKUP($I220,'Institution Evaluation'!$A$55:$F$345,2,0),IFERROR(VLOOKUP($I220,'Privacy Analyst Evaluation'!$A$46:$F$120,2,0),""))</f>
        <v/>
      </c>
      <c r="K220" s="241" t="str">
        <f>IFERROR(VLOOKUP($I220,'Institution Evaluation'!$A$55:$F$345,3,0),IFERROR(VLOOKUP($I220,'Privacy Analyst Evaluation'!$A$46:$F$120,3,0),""))&amp;""</f>
        <v/>
      </c>
      <c r="L220" s="241" t="str">
        <f>IFERROR(VLOOKUP($I220,'Institution Evaluation'!$A$55:$F$345,4,0),IFERROR(VLOOKUP($I220,'Privacy Analyst Evaluation'!$A$46:$F$120,4,0),""))&amp;""</f>
        <v/>
      </c>
      <c r="M220" s="241" t="str">
        <f>IFERROR(VLOOKUP($I220,'Institution Evaluation'!$A$55:$F$345,6,0),IFERROR(VLOOKUP($I220,'Privacy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ht="17" x14ac:dyDescent="0.2">
      <c r="A221" s="241" t="str">
        <f>IFERROR(IF($A220+1&gt;'(backend scoring)'!$T$335,"",$A220+1),"")</f>
        <v/>
      </c>
      <c r="B221" s="241" t="str">
        <f>_xlfn.XLOOKUP($A221,'(backend scoring)'!$V$2:$V$333,'(backend scoring)'!$A$2:$A$333,"")</f>
        <v/>
      </c>
      <c r="C221" s="241" t="str">
        <f>IFERROR(VLOOKUP($B221,'Institution Evaluation'!$A$55:$F$345,2,0),IFERROR(VLOOKUP($B221,'Privacy Analyst Evaluation'!$A$46:$F$120,2,0),""))&amp;""</f>
        <v/>
      </c>
      <c r="D221" s="241" t="str">
        <f>IFERROR(VLOOKUP($B221,'Institution Evaluation'!$A$55:$F$345,3,0),IFERROR(VLOOKUP($B221,'Privacy Analyst Evaluation'!$A$46:$F$120,3,0),""))&amp;""</f>
        <v/>
      </c>
      <c r="E221" s="241" t="str">
        <f>IFERROR(VLOOKUP($B221,'Institution Evaluation'!$A$55:$F$345,4,0),IFERROR(VLOOKUP($B221,'Privacy Analyst Evaluation'!$A$46:$F$120,4,0),""))&amp;""</f>
        <v/>
      </c>
      <c r="F221" s="241" t="str">
        <f>IFERROR(VLOOKUP($B221,'Institution Evaluation'!$A$55:$F$345,6,0),IFERROR(VLOOKUP($B221,'Privacy Analyst Evaluation'!$A$46:$F$120,6,0),""))&amp;""</f>
        <v/>
      </c>
      <c r="G221" s="242"/>
      <c r="H221" s="241" t="str">
        <f>IFERROR(IF($H220+1&gt;'(backend scoring)'!$Q$335,"",$H220+1),"")</f>
        <v/>
      </c>
      <c r="I221" s="241" t="str">
        <f>_xlfn.XLOOKUP($H221,'(backend scoring)'!$S$2:$S$333,'(backend scoring)'!$A$2:$A$333,"")</f>
        <v/>
      </c>
      <c r="J221" s="241" t="str">
        <f>IFERROR(VLOOKUP($I221,'Institution Evaluation'!$A$55:$F$345,2,0),IFERROR(VLOOKUP($I221,'Privacy Analyst Evaluation'!$A$46:$F$120,2,0),""))</f>
        <v/>
      </c>
      <c r="K221" s="241" t="str">
        <f>IFERROR(VLOOKUP($I221,'Institution Evaluation'!$A$55:$F$345,3,0),IFERROR(VLOOKUP($I221,'Privacy Analyst Evaluation'!$A$46:$F$120,3,0),""))&amp;""</f>
        <v/>
      </c>
      <c r="L221" s="241" t="str">
        <f>IFERROR(VLOOKUP($I221,'Institution Evaluation'!$A$55:$F$345,4,0),IFERROR(VLOOKUP($I221,'Privacy Analyst Evaluation'!$A$46:$F$120,4,0),""))&amp;""</f>
        <v/>
      </c>
      <c r="M221" s="241" t="str">
        <f>IFERROR(VLOOKUP($I221,'Institution Evaluation'!$A$55:$F$345,6,0),IFERROR(VLOOKUP($I221,'Privacy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ht="17" x14ac:dyDescent="0.2">
      <c r="A222" s="241" t="str">
        <f>IFERROR(IF($A221+1&gt;'(backend scoring)'!$T$335,"",$A221+1),"")</f>
        <v/>
      </c>
      <c r="B222" s="241" t="str">
        <f>_xlfn.XLOOKUP($A222,'(backend scoring)'!$V$2:$V$333,'(backend scoring)'!$A$2:$A$333,"")</f>
        <v/>
      </c>
      <c r="C222" s="241" t="str">
        <f>IFERROR(VLOOKUP($B222,'Institution Evaluation'!$A$55:$F$345,2,0),IFERROR(VLOOKUP($B222,'Privacy Analyst Evaluation'!$A$46:$F$120,2,0),""))&amp;""</f>
        <v/>
      </c>
      <c r="D222" s="241" t="str">
        <f>IFERROR(VLOOKUP($B222,'Institution Evaluation'!$A$55:$F$345,3,0),IFERROR(VLOOKUP($B222,'Privacy Analyst Evaluation'!$A$46:$F$120,3,0),""))&amp;""</f>
        <v/>
      </c>
      <c r="E222" s="241" t="str">
        <f>IFERROR(VLOOKUP($B222,'Institution Evaluation'!$A$55:$F$345,4,0),IFERROR(VLOOKUP($B222,'Privacy Analyst Evaluation'!$A$46:$F$120,4,0),""))&amp;""</f>
        <v/>
      </c>
      <c r="F222" s="241" t="str">
        <f>IFERROR(VLOOKUP($B222,'Institution Evaluation'!$A$55:$F$345,6,0),IFERROR(VLOOKUP($B222,'Privacy Analyst Evaluation'!$A$46:$F$120,6,0),""))&amp;""</f>
        <v/>
      </c>
      <c r="G222" s="242"/>
      <c r="H222" s="241" t="str">
        <f>IFERROR(IF($H221+1&gt;'(backend scoring)'!$Q$335,"",$H221+1),"")</f>
        <v/>
      </c>
      <c r="I222" s="241" t="str">
        <f>_xlfn.XLOOKUP($H222,'(backend scoring)'!$S$2:$S$333,'(backend scoring)'!$A$2:$A$333,"")</f>
        <v/>
      </c>
      <c r="J222" s="241" t="str">
        <f>IFERROR(VLOOKUP($I222,'Institution Evaluation'!$A$55:$F$345,2,0),IFERROR(VLOOKUP($I222,'Privacy Analyst Evaluation'!$A$46:$F$120,2,0),""))</f>
        <v/>
      </c>
      <c r="K222" s="241" t="str">
        <f>IFERROR(VLOOKUP($I222,'Institution Evaluation'!$A$55:$F$345,3,0),IFERROR(VLOOKUP($I222,'Privacy Analyst Evaluation'!$A$46:$F$120,3,0),""))&amp;""</f>
        <v/>
      </c>
      <c r="L222" s="241" t="str">
        <f>IFERROR(VLOOKUP($I222,'Institution Evaluation'!$A$55:$F$345,4,0),IFERROR(VLOOKUP($I222,'Privacy Analyst Evaluation'!$A$46:$F$120,4,0),""))&amp;""</f>
        <v/>
      </c>
      <c r="M222" s="241" t="str">
        <f>IFERROR(VLOOKUP($I222,'Institution Evaluation'!$A$55:$F$345,6,0),IFERROR(VLOOKUP($I222,'Privacy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ht="17" x14ac:dyDescent="0.2">
      <c r="A223" s="241" t="str">
        <f>IFERROR(IF($A222+1&gt;'(backend scoring)'!$T$335,"",$A222+1),"")</f>
        <v/>
      </c>
      <c r="B223" s="241" t="str">
        <f>_xlfn.XLOOKUP($A223,'(backend scoring)'!$V$2:$V$333,'(backend scoring)'!$A$2:$A$333,"")</f>
        <v/>
      </c>
      <c r="C223" s="241" t="str">
        <f>IFERROR(VLOOKUP($B223,'Institution Evaluation'!$A$55:$F$345,2,0),IFERROR(VLOOKUP($B223,'Privacy Analyst Evaluation'!$A$46:$F$120,2,0),""))&amp;""</f>
        <v/>
      </c>
      <c r="D223" s="241" t="str">
        <f>IFERROR(VLOOKUP($B223,'Institution Evaluation'!$A$55:$F$345,3,0),IFERROR(VLOOKUP($B223,'Privacy Analyst Evaluation'!$A$46:$F$120,3,0),""))&amp;""</f>
        <v/>
      </c>
      <c r="E223" s="241" t="str">
        <f>IFERROR(VLOOKUP($B223,'Institution Evaluation'!$A$55:$F$345,4,0),IFERROR(VLOOKUP($B223,'Privacy Analyst Evaluation'!$A$46:$F$120,4,0),""))&amp;""</f>
        <v/>
      </c>
      <c r="F223" s="241" t="str">
        <f>IFERROR(VLOOKUP($B223,'Institution Evaluation'!$A$55:$F$345,6,0),IFERROR(VLOOKUP($B223,'Privacy Analyst Evaluation'!$A$46:$F$120,6,0),""))&amp;""</f>
        <v/>
      </c>
      <c r="G223" s="242"/>
      <c r="H223" s="241" t="str">
        <f>IFERROR(IF($H222+1&gt;'(backend scoring)'!$Q$335,"",$H222+1),"")</f>
        <v/>
      </c>
      <c r="I223" s="241" t="str">
        <f>_xlfn.XLOOKUP($H223,'(backend scoring)'!$S$2:$S$333,'(backend scoring)'!$A$2:$A$333,"")</f>
        <v/>
      </c>
      <c r="J223" s="241" t="str">
        <f>IFERROR(VLOOKUP($I223,'Institution Evaluation'!$A$55:$F$345,2,0),IFERROR(VLOOKUP($I223,'Privacy Analyst Evaluation'!$A$46:$F$120,2,0),""))</f>
        <v/>
      </c>
      <c r="K223" s="241" t="str">
        <f>IFERROR(VLOOKUP($I223,'Institution Evaluation'!$A$55:$F$345,3,0),IFERROR(VLOOKUP($I223,'Privacy Analyst Evaluation'!$A$46:$F$120,3,0),""))&amp;""</f>
        <v/>
      </c>
      <c r="L223" s="241" t="str">
        <f>IFERROR(VLOOKUP($I223,'Institution Evaluation'!$A$55:$F$345,4,0),IFERROR(VLOOKUP($I223,'Privacy Analyst Evaluation'!$A$46:$F$120,4,0),""))&amp;""</f>
        <v/>
      </c>
      <c r="M223" s="241" t="str">
        <f>IFERROR(VLOOKUP($I223,'Institution Evaluation'!$A$55:$F$345,6,0),IFERROR(VLOOKUP($I223,'Privacy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ht="17" x14ac:dyDescent="0.2">
      <c r="A224" s="241" t="str">
        <f>IFERROR(IF($A223+1&gt;'(backend scoring)'!$T$335,"",$A223+1),"")</f>
        <v/>
      </c>
      <c r="B224" s="241" t="str">
        <f>_xlfn.XLOOKUP($A224,'(backend scoring)'!$V$2:$V$333,'(backend scoring)'!$A$2:$A$333,"")</f>
        <v/>
      </c>
      <c r="C224" s="241" t="str">
        <f>IFERROR(VLOOKUP($B224,'Institution Evaluation'!$A$55:$F$345,2,0),IFERROR(VLOOKUP($B224,'Privacy Analyst Evaluation'!$A$46:$F$120,2,0),""))&amp;""</f>
        <v/>
      </c>
      <c r="D224" s="241" t="str">
        <f>IFERROR(VLOOKUP($B224,'Institution Evaluation'!$A$55:$F$345,3,0),IFERROR(VLOOKUP($B224,'Privacy Analyst Evaluation'!$A$46:$F$120,3,0),""))&amp;""</f>
        <v/>
      </c>
      <c r="E224" s="241" t="str">
        <f>IFERROR(VLOOKUP($B224,'Institution Evaluation'!$A$55:$F$345,4,0),IFERROR(VLOOKUP($B224,'Privacy Analyst Evaluation'!$A$46:$F$120,4,0),""))&amp;""</f>
        <v/>
      </c>
      <c r="F224" s="241" t="str">
        <f>IFERROR(VLOOKUP($B224,'Institution Evaluation'!$A$55:$F$345,6,0),IFERROR(VLOOKUP($B224,'Privacy Analyst Evaluation'!$A$46:$F$120,6,0),""))&amp;""</f>
        <v/>
      </c>
      <c r="G224" s="242"/>
      <c r="H224" s="241" t="str">
        <f>IFERROR(IF($H223+1&gt;'(backend scoring)'!$Q$335,"",$H223+1),"")</f>
        <v/>
      </c>
      <c r="I224" s="241" t="str">
        <f>_xlfn.XLOOKUP($H224,'(backend scoring)'!$S$2:$S$333,'(backend scoring)'!$A$2:$A$333,"")</f>
        <v/>
      </c>
      <c r="J224" s="241" t="str">
        <f>IFERROR(VLOOKUP($I224,'Institution Evaluation'!$A$55:$F$345,2,0),IFERROR(VLOOKUP($I224,'Privacy Analyst Evaluation'!$A$46:$F$120,2,0),""))</f>
        <v/>
      </c>
      <c r="K224" s="241" t="str">
        <f>IFERROR(VLOOKUP($I224,'Institution Evaluation'!$A$55:$F$345,3,0),IFERROR(VLOOKUP($I224,'Privacy Analyst Evaluation'!$A$46:$F$120,3,0),""))&amp;""</f>
        <v/>
      </c>
      <c r="L224" s="241" t="str">
        <f>IFERROR(VLOOKUP($I224,'Institution Evaluation'!$A$55:$F$345,4,0),IFERROR(VLOOKUP($I224,'Privacy Analyst Evaluation'!$A$46:$F$120,4,0),""))&amp;""</f>
        <v/>
      </c>
      <c r="M224" s="241" t="str">
        <f>IFERROR(VLOOKUP($I224,'Institution Evaluation'!$A$55:$F$345,6,0),IFERROR(VLOOKUP($I224,'Privacy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ht="17" x14ac:dyDescent="0.2">
      <c r="A225" s="241" t="str">
        <f>IFERROR(IF($A224+1&gt;'(backend scoring)'!$T$335,"",$A224+1),"")</f>
        <v/>
      </c>
      <c r="B225" s="241" t="str">
        <f>_xlfn.XLOOKUP($A225,'(backend scoring)'!$V$2:$V$333,'(backend scoring)'!$A$2:$A$333,"")</f>
        <v/>
      </c>
      <c r="C225" s="241" t="str">
        <f>IFERROR(VLOOKUP($B225,'Institution Evaluation'!$A$55:$F$345,2,0),IFERROR(VLOOKUP($B225,'Privacy Analyst Evaluation'!$A$46:$F$120,2,0),""))&amp;""</f>
        <v/>
      </c>
      <c r="D225" s="241" t="str">
        <f>IFERROR(VLOOKUP($B225,'Institution Evaluation'!$A$55:$F$345,3,0),IFERROR(VLOOKUP($B225,'Privacy Analyst Evaluation'!$A$46:$F$120,3,0),""))&amp;""</f>
        <v/>
      </c>
      <c r="E225" s="241" t="str">
        <f>IFERROR(VLOOKUP($B225,'Institution Evaluation'!$A$55:$F$345,4,0),IFERROR(VLOOKUP($B225,'Privacy Analyst Evaluation'!$A$46:$F$120,4,0),""))&amp;""</f>
        <v/>
      </c>
      <c r="F225" s="241" t="str">
        <f>IFERROR(VLOOKUP($B225,'Institution Evaluation'!$A$55:$F$345,6,0),IFERROR(VLOOKUP($B225,'Privacy Analyst Evaluation'!$A$46:$F$120,6,0),""))&amp;""</f>
        <v/>
      </c>
      <c r="G225" s="242"/>
      <c r="H225" s="241" t="str">
        <f>IFERROR(IF($H224+1&gt;'(backend scoring)'!$Q$335,"",$H224+1),"")</f>
        <v/>
      </c>
      <c r="I225" s="241" t="str">
        <f>_xlfn.XLOOKUP($H225,'(backend scoring)'!$S$2:$S$333,'(backend scoring)'!$A$2:$A$333,"")</f>
        <v/>
      </c>
      <c r="J225" s="241" t="str">
        <f>IFERROR(VLOOKUP($I225,'Institution Evaluation'!$A$55:$F$345,2,0),IFERROR(VLOOKUP($I225,'Privacy Analyst Evaluation'!$A$46:$F$120,2,0),""))</f>
        <v/>
      </c>
      <c r="K225" s="241" t="str">
        <f>IFERROR(VLOOKUP($I225,'Institution Evaluation'!$A$55:$F$345,3,0),IFERROR(VLOOKUP($I225,'Privacy Analyst Evaluation'!$A$46:$F$120,3,0),""))&amp;""</f>
        <v/>
      </c>
      <c r="L225" s="241" t="str">
        <f>IFERROR(VLOOKUP($I225,'Institution Evaluation'!$A$55:$F$345,4,0),IFERROR(VLOOKUP($I225,'Privacy Analyst Evaluation'!$A$46:$F$120,4,0),""))&amp;""</f>
        <v/>
      </c>
      <c r="M225" s="241" t="str">
        <f>IFERROR(VLOOKUP($I225,'Institution Evaluation'!$A$55:$F$345,6,0),IFERROR(VLOOKUP($I225,'Privacy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ht="17" x14ac:dyDescent="0.2">
      <c r="A226" s="241" t="str">
        <f>IFERROR(IF($A225+1&gt;'(backend scoring)'!$T$335,"",$A225+1),"")</f>
        <v/>
      </c>
      <c r="B226" s="241" t="str">
        <f>_xlfn.XLOOKUP($A226,'(backend scoring)'!$V$2:$V$333,'(backend scoring)'!$A$2:$A$333,"")</f>
        <v/>
      </c>
      <c r="C226" s="241" t="str">
        <f>IFERROR(VLOOKUP($B226,'Institution Evaluation'!$A$55:$F$345,2,0),IFERROR(VLOOKUP($B226,'Privacy Analyst Evaluation'!$A$46:$F$120,2,0),""))&amp;""</f>
        <v/>
      </c>
      <c r="D226" s="241" t="str">
        <f>IFERROR(VLOOKUP($B226,'Institution Evaluation'!$A$55:$F$345,3,0),IFERROR(VLOOKUP($B226,'Privacy Analyst Evaluation'!$A$46:$F$120,3,0),""))&amp;""</f>
        <v/>
      </c>
      <c r="E226" s="241" t="str">
        <f>IFERROR(VLOOKUP($B226,'Institution Evaluation'!$A$55:$F$345,4,0),IFERROR(VLOOKUP($B226,'Privacy Analyst Evaluation'!$A$46:$F$120,4,0),""))&amp;""</f>
        <v/>
      </c>
      <c r="F226" s="241" t="str">
        <f>IFERROR(VLOOKUP($B226,'Institution Evaluation'!$A$55:$F$345,6,0),IFERROR(VLOOKUP($B226,'Privacy Analyst Evaluation'!$A$46:$F$120,6,0),""))&amp;""</f>
        <v/>
      </c>
      <c r="G226" s="242"/>
      <c r="H226" s="241" t="str">
        <f>IFERROR(IF($H225+1&gt;'(backend scoring)'!$Q$335,"",$H225+1),"")</f>
        <v/>
      </c>
      <c r="I226" s="241" t="str">
        <f>_xlfn.XLOOKUP($H226,'(backend scoring)'!$S$2:$S$333,'(backend scoring)'!$A$2:$A$333,"")</f>
        <v/>
      </c>
      <c r="J226" s="241" t="str">
        <f>IFERROR(VLOOKUP($I226,'Institution Evaluation'!$A$55:$F$345,2,0),IFERROR(VLOOKUP($I226,'Privacy Analyst Evaluation'!$A$46:$F$120,2,0),""))</f>
        <v/>
      </c>
      <c r="K226" s="241" t="str">
        <f>IFERROR(VLOOKUP($I226,'Institution Evaluation'!$A$55:$F$345,3,0),IFERROR(VLOOKUP($I226,'Privacy Analyst Evaluation'!$A$46:$F$120,3,0),""))&amp;""</f>
        <v/>
      </c>
      <c r="L226" s="241" t="str">
        <f>IFERROR(VLOOKUP($I226,'Institution Evaluation'!$A$55:$F$345,4,0),IFERROR(VLOOKUP($I226,'Privacy Analyst Evaluation'!$A$46:$F$120,4,0),""))&amp;""</f>
        <v/>
      </c>
      <c r="M226" s="241" t="str">
        <f>IFERROR(VLOOKUP($I226,'Institution Evaluation'!$A$55:$F$345,6,0),IFERROR(VLOOKUP($I226,'Privacy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ht="17" x14ac:dyDescent="0.2">
      <c r="A227" s="241" t="str">
        <f>IFERROR(IF($A226+1&gt;'(backend scoring)'!$T$335,"",$A226+1),"")</f>
        <v/>
      </c>
      <c r="B227" s="241" t="str">
        <f>_xlfn.XLOOKUP($A227,'(backend scoring)'!$V$2:$V$333,'(backend scoring)'!$A$2:$A$333,"")</f>
        <v/>
      </c>
      <c r="C227" s="241" t="str">
        <f>IFERROR(VLOOKUP($B227,'Institution Evaluation'!$A$55:$F$345,2,0),IFERROR(VLOOKUP($B227,'Privacy Analyst Evaluation'!$A$46:$F$120,2,0),""))&amp;""</f>
        <v/>
      </c>
      <c r="D227" s="241" t="str">
        <f>IFERROR(VLOOKUP($B227,'Institution Evaluation'!$A$55:$F$345,3,0),IFERROR(VLOOKUP($B227,'Privacy Analyst Evaluation'!$A$46:$F$120,3,0),""))&amp;""</f>
        <v/>
      </c>
      <c r="E227" s="241" t="str">
        <f>IFERROR(VLOOKUP($B227,'Institution Evaluation'!$A$55:$F$345,4,0),IFERROR(VLOOKUP($B227,'Privacy Analyst Evaluation'!$A$46:$F$120,4,0),""))&amp;""</f>
        <v/>
      </c>
      <c r="F227" s="241" t="str">
        <f>IFERROR(VLOOKUP($B227,'Institution Evaluation'!$A$55:$F$345,6,0),IFERROR(VLOOKUP($B227,'Privacy Analyst Evaluation'!$A$46:$F$120,6,0),""))&amp;""</f>
        <v/>
      </c>
      <c r="G227" s="242"/>
      <c r="H227" s="241" t="str">
        <f>IFERROR(IF($H226+1&gt;'(backend scoring)'!$Q$335,"",$H226+1),"")</f>
        <v/>
      </c>
      <c r="I227" s="241" t="str">
        <f>_xlfn.XLOOKUP($H227,'(backend scoring)'!$S$2:$S$333,'(backend scoring)'!$A$2:$A$333,"")</f>
        <v/>
      </c>
      <c r="J227" s="241" t="str">
        <f>IFERROR(VLOOKUP($I227,'Institution Evaluation'!$A$55:$F$345,2,0),IFERROR(VLOOKUP($I227,'Privacy Analyst Evaluation'!$A$46:$F$120,2,0),""))</f>
        <v/>
      </c>
      <c r="K227" s="241" t="str">
        <f>IFERROR(VLOOKUP($I227,'Institution Evaluation'!$A$55:$F$345,3,0),IFERROR(VLOOKUP($I227,'Privacy Analyst Evaluation'!$A$46:$F$120,3,0),""))&amp;""</f>
        <v/>
      </c>
      <c r="L227" s="241" t="str">
        <f>IFERROR(VLOOKUP($I227,'Institution Evaluation'!$A$55:$F$345,4,0),IFERROR(VLOOKUP($I227,'Privacy Analyst Evaluation'!$A$46:$F$120,4,0),""))&amp;""</f>
        <v/>
      </c>
      <c r="M227" s="241" t="str">
        <f>IFERROR(VLOOKUP($I227,'Institution Evaluation'!$A$55:$F$345,6,0),IFERROR(VLOOKUP($I227,'Privacy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ht="17" x14ac:dyDescent="0.2">
      <c r="A228" s="241" t="str">
        <f>IFERROR(IF($A227+1&gt;'(backend scoring)'!$T$335,"",$A227+1),"")</f>
        <v/>
      </c>
      <c r="B228" s="241" t="str">
        <f>_xlfn.XLOOKUP($A228,'(backend scoring)'!$V$2:$V$333,'(backend scoring)'!$A$2:$A$333,"")</f>
        <v/>
      </c>
      <c r="C228" s="241" t="str">
        <f>IFERROR(VLOOKUP($B228,'Institution Evaluation'!$A$55:$F$345,2,0),IFERROR(VLOOKUP($B228,'Privacy Analyst Evaluation'!$A$46:$F$120,2,0),""))&amp;""</f>
        <v/>
      </c>
      <c r="D228" s="241" t="str">
        <f>IFERROR(VLOOKUP($B228,'Institution Evaluation'!$A$55:$F$345,3,0),IFERROR(VLOOKUP($B228,'Privacy Analyst Evaluation'!$A$46:$F$120,3,0),""))&amp;""</f>
        <v/>
      </c>
      <c r="E228" s="241" t="str">
        <f>IFERROR(VLOOKUP($B228,'Institution Evaluation'!$A$55:$F$345,4,0),IFERROR(VLOOKUP($B228,'Privacy Analyst Evaluation'!$A$46:$F$120,4,0),""))&amp;""</f>
        <v/>
      </c>
      <c r="F228" s="241" t="str">
        <f>IFERROR(VLOOKUP($B228,'Institution Evaluation'!$A$55:$F$345,6,0),IFERROR(VLOOKUP($B228,'Privacy Analyst Evaluation'!$A$46:$F$120,6,0),""))&amp;""</f>
        <v/>
      </c>
      <c r="G228" s="242"/>
      <c r="H228" s="241" t="str">
        <f>IFERROR(IF($H227+1&gt;'(backend scoring)'!$Q$335,"",$H227+1),"")</f>
        <v/>
      </c>
      <c r="I228" s="241" t="str">
        <f>_xlfn.XLOOKUP($H228,'(backend scoring)'!$S$2:$S$333,'(backend scoring)'!$A$2:$A$333,"")</f>
        <v/>
      </c>
      <c r="J228" s="241" t="str">
        <f>IFERROR(VLOOKUP($I228,'Institution Evaluation'!$A$55:$F$345,2,0),IFERROR(VLOOKUP($I228,'Privacy Analyst Evaluation'!$A$46:$F$120,2,0),""))</f>
        <v/>
      </c>
      <c r="K228" s="241" t="str">
        <f>IFERROR(VLOOKUP($I228,'Institution Evaluation'!$A$55:$F$345,3,0),IFERROR(VLOOKUP($I228,'Privacy Analyst Evaluation'!$A$46:$F$120,3,0),""))&amp;""</f>
        <v/>
      </c>
      <c r="L228" s="241" t="str">
        <f>IFERROR(VLOOKUP($I228,'Institution Evaluation'!$A$55:$F$345,4,0),IFERROR(VLOOKUP($I228,'Privacy Analyst Evaluation'!$A$46:$F$120,4,0),""))&amp;""</f>
        <v/>
      </c>
      <c r="M228" s="241" t="str">
        <f>IFERROR(VLOOKUP($I228,'Institution Evaluation'!$A$55:$F$345,6,0),IFERROR(VLOOKUP($I228,'Privacy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ht="17" x14ac:dyDescent="0.2">
      <c r="A229" s="241" t="str">
        <f>IFERROR(IF($A228+1&gt;'(backend scoring)'!$T$335,"",$A228+1),"")</f>
        <v/>
      </c>
      <c r="B229" s="241" t="str">
        <f>_xlfn.XLOOKUP($A229,'(backend scoring)'!$V$2:$V$333,'(backend scoring)'!$A$2:$A$333,"")</f>
        <v/>
      </c>
      <c r="C229" s="241" t="str">
        <f>IFERROR(VLOOKUP($B229,'Institution Evaluation'!$A$55:$F$345,2,0),IFERROR(VLOOKUP($B229,'Privacy Analyst Evaluation'!$A$46:$F$120,2,0),""))&amp;""</f>
        <v/>
      </c>
      <c r="D229" s="241" t="str">
        <f>IFERROR(VLOOKUP($B229,'Institution Evaluation'!$A$55:$F$345,3,0),IFERROR(VLOOKUP($B229,'Privacy Analyst Evaluation'!$A$46:$F$120,3,0),""))&amp;""</f>
        <v/>
      </c>
      <c r="E229" s="241" t="str">
        <f>IFERROR(VLOOKUP($B229,'Institution Evaluation'!$A$55:$F$345,4,0),IFERROR(VLOOKUP($B229,'Privacy Analyst Evaluation'!$A$46:$F$120,4,0),""))&amp;""</f>
        <v/>
      </c>
      <c r="F229" s="241" t="str">
        <f>IFERROR(VLOOKUP($B229,'Institution Evaluation'!$A$55:$F$345,6,0),IFERROR(VLOOKUP($B229,'Privacy Analyst Evaluation'!$A$46:$F$120,6,0),""))&amp;""</f>
        <v/>
      </c>
      <c r="G229" s="242"/>
      <c r="H229" s="241" t="str">
        <f>IFERROR(IF($H228+1&gt;'(backend scoring)'!$Q$335,"",$H228+1),"")</f>
        <v/>
      </c>
      <c r="I229" s="241" t="str">
        <f>_xlfn.XLOOKUP($H229,'(backend scoring)'!$S$2:$S$333,'(backend scoring)'!$A$2:$A$333,"")</f>
        <v/>
      </c>
      <c r="J229" s="241" t="str">
        <f>IFERROR(VLOOKUP($I229,'Institution Evaluation'!$A$55:$F$345,2,0),IFERROR(VLOOKUP($I229,'Privacy Analyst Evaluation'!$A$46:$F$120,2,0),""))</f>
        <v/>
      </c>
      <c r="K229" s="241" t="str">
        <f>IFERROR(VLOOKUP($I229,'Institution Evaluation'!$A$55:$F$345,3,0),IFERROR(VLOOKUP($I229,'Privacy Analyst Evaluation'!$A$46:$F$120,3,0),""))&amp;""</f>
        <v/>
      </c>
      <c r="L229" s="241" t="str">
        <f>IFERROR(VLOOKUP($I229,'Institution Evaluation'!$A$55:$F$345,4,0),IFERROR(VLOOKUP($I229,'Privacy Analyst Evaluation'!$A$46:$F$120,4,0),""))&amp;""</f>
        <v/>
      </c>
      <c r="M229" s="241" t="str">
        <f>IFERROR(VLOOKUP($I229,'Institution Evaluation'!$A$55:$F$345,6,0),IFERROR(VLOOKUP($I229,'Privacy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ht="17" x14ac:dyDescent="0.2">
      <c r="A230" s="241" t="str">
        <f>IFERROR(IF($A229+1&gt;'(backend scoring)'!$T$335,"",$A229+1),"")</f>
        <v/>
      </c>
      <c r="B230" s="241" t="str">
        <f>_xlfn.XLOOKUP($A230,'(backend scoring)'!$V$2:$V$333,'(backend scoring)'!$A$2:$A$333,"")</f>
        <v/>
      </c>
      <c r="C230" s="241" t="str">
        <f>IFERROR(VLOOKUP($B230,'Institution Evaluation'!$A$55:$F$345,2,0),IFERROR(VLOOKUP($B230,'Privacy Analyst Evaluation'!$A$46:$F$120,2,0),""))&amp;""</f>
        <v/>
      </c>
      <c r="D230" s="241" t="str">
        <f>IFERROR(VLOOKUP($B230,'Institution Evaluation'!$A$55:$F$345,3,0),IFERROR(VLOOKUP($B230,'Privacy Analyst Evaluation'!$A$46:$F$120,3,0),""))&amp;""</f>
        <v/>
      </c>
      <c r="E230" s="241" t="str">
        <f>IFERROR(VLOOKUP($B230,'Institution Evaluation'!$A$55:$F$345,4,0),IFERROR(VLOOKUP($B230,'Privacy Analyst Evaluation'!$A$46:$F$120,4,0),""))&amp;""</f>
        <v/>
      </c>
      <c r="F230" s="241" t="str">
        <f>IFERROR(VLOOKUP($B230,'Institution Evaluation'!$A$55:$F$345,6,0),IFERROR(VLOOKUP($B230,'Privacy Analyst Evaluation'!$A$46:$F$120,6,0),""))&amp;""</f>
        <v/>
      </c>
      <c r="G230" s="242"/>
      <c r="H230" s="241" t="str">
        <f>IFERROR(IF($H229+1&gt;'(backend scoring)'!$Q$335,"",$H229+1),"")</f>
        <v/>
      </c>
      <c r="I230" s="241" t="str">
        <f>_xlfn.XLOOKUP($H230,'(backend scoring)'!$S$2:$S$333,'(backend scoring)'!$A$2:$A$333,"")</f>
        <v/>
      </c>
      <c r="J230" s="241" t="str">
        <f>IFERROR(VLOOKUP($I230,'Institution Evaluation'!$A$55:$F$345,2,0),IFERROR(VLOOKUP($I230,'Privacy Analyst Evaluation'!$A$46:$F$120,2,0),""))</f>
        <v/>
      </c>
      <c r="K230" s="241" t="str">
        <f>IFERROR(VLOOKUP($I230,'Institution Evaluation'!$A$55:$F$345,3,0),IFERROR(VLOOKUP($I230,'Privacy Analyst Evaluation'!$A$46:$F$120,3,0),""))&amp;""</f>
        <v/>
      </c>
      <c r="L230" s="241" t="str">
        <f>IFERROR(VLOOKUP($I230,'Institution Evaluation'!$A$55:$F$345,4,0),IFERROR(VLOOKUP($I230,'Privacy Analyst Evaluation'!$A$46:$F$120,4,0),""))&amp;""</f>
        <v/>
      </c>
      <c r="M230" s="241" t="str">
        <f>IFERROR(VLOOKUP($I230,'Institution Evaluation'!$A$55:$F$345,6,0),IFERROR(VLOOKUP($I230,'Privacy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ht="17" x14ac:dyDescent="0.2">
      <c r="A231" s="241" t="str">
        <f>IFERROR(IF($A230+1&gt;'(backend scoring)'!$T$335,"",$A230+1),"")</f>
        <v/>
      </c>
      <c r="B231" s="241" t="str">
        <f>_xlfn.XLOOKUP($A231,'(backend scoring)'!$V$2:$V$333,'(backend scoring)'!$A$2:$A$333,"")</f>
        <v/>
      </c>
      <c r="C231" s="241" t="str">
        <f>IFERROR(VLOOKUP($B231,'Institution Evaluation'!$A$55:$F$345,2,0),IFERROR(VLOOKUP($B231,'Privacy Analyst Evaluation'!$A$46:$F$120,2,0),""))&amp;""</f>
        <v/>
      </c>
      <c r="D231" s="241" t="str">
        <f>IFERROR(VLOOKUP($B231,'Institution Evaluation'!$A$55:$F$345,3,0),IFERROR(VLOOKUP($B231,'Privacy Analyst Evaluation'!$A$46:$F$120,3,0),""))&amp;""</f>
        <v/>
      </c>
      <c r="E231" s="241" t="str">
        <f>IFERROR(VLOOKUP($B231,'Institution Evaluation'!$A$55:$F$345,4,0),IFERROR(VLOOKUP($B231,'Privacy Analyst Evaluation'!$A$46:$F$120,4,0),""))&amp;""</f>
        <v/>
      </c>
      <c r="F231" s="241" t="str">
        <f>IFERROR(VLOOKUP($B231,'Institution Evaluation'!$A$55:$F$345,6,0),IFERROR(VLOOKUP($B231,'Privacy Analyst Evaluation'!$A$46:$F$120,6,0),""))&amp;""</f>
        <v/>
      </c>
      <c r="G231" s="242"/>
      <c r="H231" s="241" t="str">
        <f>IFERROR(IF($H230+1&gt;'(backend scoring)'!$Q$335,"",$H230+1),"")</f>
        <v/>
      </c>
      <c r="I231" s="241" t="str">
        <f>_xlfn.XLOOKUP($H231,'(backend scoring)'!$S$2:$S$333,'(backend scoring)'!$A$2:$A$333,"")</f>
        <v/>
      </c>
      <c r="J231" s="241" t="str">
        <f>IFERROR(VLOOKUP($I231,'Institution Evaluation'!$A$55:$F$345,2,0),IFERROR(VLOOKUP($I231,'Privacy Analyst Evaluation'!$A$46:$F$120,2,0),""))</f>
        <v/>
      </c>
      <c r="K231" s="241" t="str">
        <f>IFERROR(VLOOKUP($I231,'Institution Evaluation'!$A$55:$F$345,3,0),IFERROR(VLOOKUP($I231,'Privacy Analyst Evaluation'!$A$46:$F$120,3,0),""))&amp;""</f>
        <v/>
      </c>
      <c r="L231" s="241" t="str">
        <f>IFERROR(VLOOKUP($I231,'Institution Evaluation'!$A$55:$F$345,4,0),IFERROR(VLOOKUP($I231,'Privacy Analyst Evaluation'!$A$46:$F$120,4,0),""))&amp;""</f>
        <v/>
      </c>
      <c r="M231" s="241" t="str">
        <f>IFERROR(VLOOKUP($I231,'Institution Evaluation'!$A$55:$F$345,6,0),IFERROR(VLOOKUP($I231,'Privacy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ht="17" x14ac:dyDescent="0.2">
      <c r="A232" s="241" t="str">
        <f>IFERROR(IF($A231+1&gt;'(backend scoring)'!$T$335,"",$A231+1),"")</f>
        <v/>
      </c>
      <c r="B232" s="241" t="str">
        <f>_xlfn.XLOOKUP($A232,'(backend scoring)'!$V$2:$V$333,'(backend scoring)'!$A$2:$A$333,"")</f>
        <v/>
      </c>
      <c r="C232" s="241" t="str">
        <f>IFERROR(VLOOKUP($B232,'Institution Evaluation'!$A$55:$F$345,2,0),IFERROR(VLOOKUP($B232,'Privacy Analyst Evaluation'!$A$46:$F$120,2,0),""))&amp;""</f>
        <v/>
      </c>
      <c r="D232" s="241" t="str">
        <f>IFERROR(VLOOKUP($B232,'Institution Evaluation'!$A$55:$F$345,3,0),IFERROR(VLOOKUP($B232,'Privacy Analyst Evaluation'!$A$46:$F$120,3,0),""))&amp;""</f>
        <v/>
      </c>
      <c r="E232" s="241" t="str">
        <f>IFERROR(VLOOKUP($B232,'Institution Evaluation'!$A$55:$F$345,4,0),IFERROR(VLOOKUP($B232,'Privacy Analyst Evaluation'!$A$46:$F$120,4,0),""))&amp;""</f>
        <v/>
      </c>
      <c r="F232" s="241" t="str">
        <f>IFERROR(VLOOKUP($B232,'Institution Evaluation'!$A$55:$F$345,6,0),IFERROR(VLOOKUP($B232,'Privacy Analyst Evaluation'!$A$46:$F$120,6,0),""))&amp;""</f>
        <v/>
      </c>
      <c r="G232" s="242"/>
      <c r="H232" s="241" t="str">
        <f>IFERROR(IF($H231+1&gt;'(backend scoring)'!$Q$335,"",$H231+1),"")</f>
        <v/>
      </c>
      <c r="I232" s="241" t="str">
        <f>_xlfn.XLOOKUP($H232,'(backend scoring)'!$S$2:$S$333,'(backend scoring)'!$A$2:$A$333,"")</f>
        <v/>
      </c>
      <c r="J232" s="241" t="str">
        <f>IFERROR(VLOOKUP($I232,'Institution Evaluation'!$A$55:$F$345,2,0),IFERROR(VLOOKUP($I232,'Privacy Analyst Evaluation'!$A$46:$F$120,2,0),""))</f>
        <v/>
      </c>
      <c r="K232" s="241" t="str">
        <f>IFERROR(VLOOKUP($I232,'Institution Evaluation'!$A$55:$F$345,3,0),IFERROR(VLOOKUP($I232,'Privacy Analyst Evaluation'!$A$46:$F$120,3,0),""))&amp;""</f>
        <v/>
      </c>
      <c r="L232" s="241" t="str">
        <f>IFERROR(VLOOKUP($I232,'Institution Evaluation'!$A$55:$F$345,4,0),IFERROR(VLOOKUP($I232,'Privacy Analyst Evaluation'!$A$46:$F$120,4,0),""))&amp;""</f>
        <v/>
      </c>
      <c r="M232" s="241" t="str">
        <f>IFERROR(VLOOKUP($I232,'Institution Evaluation'!$A$55:$F$345,6,0),IFERROR(VLOOKUP($I232,'Privacy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ht="17" x14ac:dyDescent="0.2">
      <c r="A233" s="241" t="str">
        <f>IFERROR(IF($A232+1&gt;'(backend scoring)'!$T$335,"",$A232+1),"")</f>
        <v/>
      </c>
      <c r="B233" s="241" t="str">
        <f>_xlfn.XLOOKUP($A233,'(backend scoring)'!$V$2:$V$333,'(backend scoring)'!$A$2:$A$333,"")</f>
        <v/>
      </c>
      <c r="C233" s="241" t="str">
        <f>IFERROR(VLOOKUP($B233,'Institution Evaluation'!$A$55:$F$345,2,0),IFERROR(VLOOKUP($B233,'Privacy Analyst Evaluation'!$A$46:$F$120,2,0),""))&amp;""</f>
        <v/>
      </c>
      <c r="D233" s="241" t="str">
        <f>IFERROR(VLOOKUP($B233,'Institution Evaluation'!$A$55:$F$345,3,0),IFERROR(VLOOKUP($B233,'Privacy Analyst Evaluation'!$A$46:$F$120,3,0),""))&amp;""</f>
        <v/>
      </c>
      <c r="E233" s="241" t="str">
        <f>IFERROR(VLOOKUP($B233,'Institution Evaluation'!$A$55:$F$345,4,0),IFERROR(VLOOKUP($B233,'Privacy Analyst Evaluation'!$A$46:$F$120,4,0),""))&amp;""</f>
        <v/>
      </c>
      <c r="F233" s="241" t="str">
        <f>IFERROR(VLOOKUP($B233,'Institution Evaluation'!$A$55:$F$345,6,0),IFERROR(VLOOKUP($B233,'Privacy Analyst Evaluation'!$A$46:$F$120,6,0),""))&amp;""</f>
        <v/>
      </c>
      <c r="G233" s="242"/>
      <c r="H233" s="241" t="str">
        <f>IFERROR(IF($H232+1&gt;'(backend scoring)'!$Q$335,"",$H232+1),"")</f>
        <v/>
      </c>
      <c r="I233" s="241" t="str">
        <f>_xlfn.XLOOKUP($H233,'(backend scoring)'!$S$2:$S$333,'(backend scoring)'!$A$2:$A$333,"")</f>
        <v/>
      </c>
      <c r="J233" s="241" t="str">
        <f>IFERROR(VLOOKUP($I233,'Institution Evaluation'!$A$55:$F$345,2,0),IFERROR(VLOOKUP($I233,'Privacy Analyst Evaluation'!$A$46:$F$120,2,0),""))</f>
        <v/>
      </c>
      <c r="K233" s="241" t="str">
        <f>IFERROR(VLOOKUP($I233,'Institution Evaluation'!$A$55:$F$345,3,0),IFERROR(VLOOKUP($I233,'Privacy Analyst Evaluation'!$A$46:$F$120,3,0),""))&amp;""</f>
        <v/>
      </c>
      <c r="L233" s="241" t="str">
        <f>IFERROR(VLOOKUP($I233,'Institution Evaluation'!$A$55:$F$345,4,0),IFERROR(VLOOKUP($I233,'Privacy Analyst Evaluation'!$A$46:$F$120,4,0),""))&amp;""</f>
        <v/>
      </c>
      <c r="M233" s="241" t="str">
        <f>IFERROR(VLOOKUP($I233,'Institution Evaluation'!$A$55:$F$345,6,0),IFERROR(VLOOKUP($I233,'Privacy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ht="17" x14ac:dyDescent="0.2">
      <c r="A234" s="241" t="str">
        <f>IFERROR(IF($A233+1&gt;'(backend scoring)'!$T$335,"",$A233+1),"")</f>
        <v/>
      </c>
      <c r="B234" s="241" t="str">
        <f>_xlfn.XLOOKUP($A234,'(backend scoring)'!$V$2:$V$333,'(backend scoring)'!$A$2:$A$333,"")</f>
        <v/>
      </c>
      <c r="C234" s="241" t="str">
        <f>IFERROR(VLOOKUP($B234,'Institution Evaluation'!$A$55:$F$345,2,0),IFERROR(VLOOKUP($B234,'Privacy Analyst Evaluation'!$A$46:$F$120,2,0),""))&amp;""</f>
        <v/>
      </c>
      <c r="D234" s="241" t="str">
        <f>IFERROR(VLOOKUP($B234,'Institution Evaluation'!$A$55:$F$345,3,0),IFERROR(VLOOKUP($B234,'Privacy Analyst Evaluation'!$A$46:$F$120,3,0),""))&amp;""</f>
        <v/>
      </c>
      <c r="E234" s="241" t="str">
        <f>IFERROR(VLOOKUP($B234,'Institution Evaluation'!$A$55:$F$345,4,0),IFERROR(VLOOKUP($B234,'Privacy Analyst Evaluation'!$A$46:$F$120,4,0),""))&amp;""</f>
        <v/>
      </c>
      <c r="F234" s="241" t="str">
        <f>IFERROR(VLOOKUP($B234,'Institution Evaluation'!$A$55:$F$345,6,0),IFERROR(VLOOKUP($B234,'Privacy Analyst Evaluation'!$A$46:$F$120,6,0),""))&amp;""</f>
        <v/>
      </c>
      <c r="G234" s="242"/>
      <c r="H234" s="241" t="str">
        <f>IFERROR(IF($H233+1&gt;'(backend scoring)'!$Q$335,"",$H233+1),"")</f>
        <v/>
      </c>
      <c r="I234" s="241" t="str">
        <f>_xlfn.XLOOKUP($H234,'(backend scoring)'!$S$2:$S$333,'(backend scoring)'!$A$2:$A$333,"")</f>
        <v/>
      </c>
      <c r="J234" s="241" t="str">
        <f>IFERROR(VLOOKUP($I234,'Institution Evaluation'!$A$55:$F$345,2,0),IFERROR(VLOOKUP($I234,'Privacy Analyst Evaluation'!$A$46:$F$120,2,0),""))</f>
        <v/>
      </c>
      <c r="K234" s="241" t="str">
        <f>IFERROR(VLOOKUP($I234,'Institution Evaluation'!$A$55:$F$345,3,0),IFERROR(VLOOKUP($I234,'Privacy Analyst Evaluation'!$A$46:$F$120,3,0),""))&amp;""</f>
        <v/>
      </c>
      <c r="L234" s="241" t="str">
        <f>IFERROR(VLOOKUP($I234,'Institution Evaluation'!$A$55:$F$345,4,0),IFERROR(VLOOKUP($I234,'Privacy Analyst Evaluation'!$A$46:$F$120,4,0),""))&amp;""</f>
        <v/>
      </c>
      <c r="M234" s="241" t="str">
        <f>IFERROR(VLOOKUP($I234,'Institution Evaluation'!$A$55:$F$345,6,0),IFERROR(VLOOKUP($I234,'Privacy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ht="17" x14ac:dyDescent="0.2">
      <c r="A235" s="241" t="str">
        <f>IFERROR(IF($A234+1&gt;'(backend scoring)'!$T$335,"",$A234+1),"")</f>
        <v/>
      </c>
      <c r="B235" s="241" t="str">
        <f>_xlfn.XLOOKUP($A235,'(backend scoring)'!$V$2:$V$333,'(backend scoring)'!$A$2:$A$333,"")</f>
        <v/>
      </c>
      <c r="C235" s="241" t="str">
        <f>IFERROR(VLOOKUP($B235,'Institution Evaluation'!$A$55:$F$345,2,0),IFERROR(VLOOKUP($B235,'Privacy Analyst Evaluation'!$A$46:$F$120,2,0),""))&amp;""</f>
        <v/>
      </c>
      <c r="D235" s="241" t="str">
        <f>IFERROR(VLOOKUP($B235,'Institution Evaluation'!$A$55:$F$345,3,0),IFERROR(VLOOKUP($B235,'Privacy Analyst Evaluation'!$A$46:$F$120,3,0),""))&amp;""</f>
        <v/>
      </c>
      <c r="E235" s="241" t="str">
        <f>IFERROR(VLOOKUP($B235,'Institution Evaluation'!$A$55:$F$345,4,0),IFERROR(VLOOKUP($B235,'Privacy Analyst Evaluation'!$A$46:$F$120,4,0),""))&amp;""</f>
        <v/>
      </c>
      <c r="F235" s="241" t="str">
        <f>IFERROR(VLOOKUP($B235,'Institution Evaluation'!$A$55:$F$345,6,0),IFERROR(VLOOKUP($B235,'Privacy Analyst Evaluation'!$A$46:$F$120,6,0),""))&amp;""</f>
        <v/>
      </c>
      <c r="G235" s="242"/>
      <c r="H235" s="241" t="str">
        <f>IFERROR(IF($H234+1&gt;'(backend scoring)'!$Q$335,"",$H234+1),"")</f>
        <v/>
      </c>
      <c r="I235" s="241" t="str">
        <f>_xlfn.XLOOKUP($H235,'(backend scoring)'!$S$2:$S$333,'(backend scoring)'!$A$2:$A$333,"")</f>
        <v/>
      </c>
      <c r="J235" s="241" t="str">
        <f>IFERROR(VLOOKUP($I235,'Institution Evaluation'!$A$55:$F$345,2,0),IFERROR(VLOOKUP($I235,'Privacy Analyst Evaluation'!$A$46:$F$120,2,0),""))</f>
        <v/>
      </c>
      <c r="K235" s="241" t="str">
        <f>IFERROR(VLOOKUP($I235,'Institution Evaluation'!$A$55:$F$345,3,0),IFERROR(VLOOKUP($I235,'Privacy Analyst Evaluation'!$A$46:$F$120,3,0),""))&amp;""</f>
        <v/>
      </c>
      <c r="L235" s="241" t="str">
        <f>IFERROR(VLOOKUP($I235,'Institution Evaluation'!$A$55:$F$345,4,0),IFERROR(VLOOKUP($I235,'Privacy Analyst Evaluation'!$A$46:$F$120,4,0),""))&amp;""</f>
        <v/>
      </c>
      <c r="M235" s="241" t="str">
        <f>IFERROR(VLOOKUP($I235,'Institution Evaluation'!$A$55:$F$345,6,0),IFERROR(VLOOKUP($I235,'Privacy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ht="17" x14ac:dyDescent="0.2">
      <c r="A236" s="241" t="str">
        <f>IFERROR(IF($A235+1&gt;'(backend scoring)'!$T$335,"",$A235+1),"")</f>
        <v/>
      </c>
      <c r="B236" s="241" t="str">
        <f>_xlfn.XLOOKUP($A236,'(backend scoring)'!$V$2:$V$333,'(backend scoring)'!$A$2:$A$333,"")</f>
        <v/>
      </c>
      <c r="C236" s="241" t="str">
        <f>IFERROR(VLOOKUP($B236,'Institution Evaluation'!$A$55:$F$345,2,0),IFERROR(VLOOKUP($B236,'Privacy Analyst Evaluation'!$A$46:$F$120,2,0),""))&amp;""</f>
        <v/>
      </c>
      <c r="D236" s="241" t="str">
        <f>IFERROR(VLOOKUP($B236,'Institution Evaluation'!$A$55:$F$345,3,0),IFERROR(VLOOKUP($B236,'Privacy Analyst Evaluation'!$A$46:$F$120,3,0),""))&amp;""</f>
        <v/>
      </c>
      <c r="E236" s="241" t="str">
        <f>IFERROR(VLOOKUP($B236,'Institution Evaluation'!$A$55:$F$345,4,0),IFERROR(VLOOKUP($B236,'Privacy Analyst Evaluation'!$A$46:$F$120,4,0),""))&amp;""</f>
        <v/>
      </c>
      <c r="F236" s="241" t="str">
        <f>IFERROR(VLOOKUP($B236,'Institution Evaluation'!$A$55:$F$345,6,0),IFERROR(VLOOKUP($B236,'Privacy Analyst Evaluation'!$A$46:$F$120,6,0),""))&amp;""</f>
        <v/>
      </c>
      <c r="G236" s="242"/>
      <c r="H236" s="241" t="str">
        <f>IFERROR(IF($H235+1&gt;'(backend scoring)'!$Q$335,"",$H235+1),"")</f>
        <v/>
      </c>
      <c r="I236" s="241" t="str">
        <f>_xlfn.XLOOKUP($H236,'(backend scoring)'!$S$2:$S$333,'(backend scoring)'!$A$2:$A$333,"")</f>
        <v/>
      </c>
      <c r="J236" s="241" t="str">
        <f>IFERROR(VLOOKUP($I236,'Institution Evaluation'!$A$55:$F$345,2,0),IFERROR(VLOOKUP($I236,'Privacy Analyst Evaluation'!$A$46:$F$120,2,0),""))</f>
        <v/>
      </c>
      <c r="K236" s="241" t="str">
        <f>IFERROR(VLOOKUP($I236,'Institution Evaluation'!$A$55:$F$345,3,0),IFERROR(VLOOKUP($I236,'Privacy Analyst Evaluation'!$A$46:$F$120,3,0),""))&amp;""</f>
        <v/>
      </c>
      <c r="L236" s="241" t="str">
        <f>IFERROR(VLOOKUP($I236,'Institution Evaluation'!$A$55:$F$345,4,0),IFERROR(VLOOKUP($I236,'Privacy Analyst Evaluation'!$A$46:$F$120,4,0),""))&amp;""</f>
        <v/>
      </c>
      <c r="M236" s="241" t="str">
        <f>IFERROR(VLOOKUP($I236,'Institution Evaluation'!$A$55:$F$345,6,0),IFERROR(VLOOKUP($I236,'Privacy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ht="17" x14ac:dyDescent="0.2">
      <c r="A237" s="241" t="str">
        <f>IFERROR(IF($A236+1&gt;'(backend scoring)'!$T$335,"",$A236+1),"")</f>
        <v/>
      </c>
      <c r="B237" s="241" t="str">
        <f>_xlfn.XLOOKUP($A237,'(backend scoring)'!$V$2:$V$333,'(backend scoring)'!$A$2:$A$333,"")</f>
        <v/>
      </c>
      <c r="C237" s="241" t="str">
        <f>IFERROR(VLOOKUP($B237,'Institution Evaluation'!$A$55:$F$345,2,0),IFERROR(VLOOKUP($B237,'Privacy Analyst Evaluation'!$A$46:$F$120,2,0),""))&amp;""</f>
        <v/>
      </c>
      <c r="D237" s="241" t="str">
        <f>IFERROR(VLOOKUP($B237,'Institution Evaluation'!$A$55:$F$345,3,0),IFERROR(VLOOKUP($B237,'Privacy Analyst Evaluation'!$A$46:$F$120,3,0),""))&amp;""</f>
        <v/>
      </c>
      <c r="E237" s="241" t="str">
        <f>IFERROR(VLOOKUP($B237,'Institution Evaluation'!$A$55:$F$345,4,0),IFERROR(VLOOKUP($B237,'Privacy Analyst Evaluation'!$A$46:$F$120,4,0),""))&amp;""</f>
        <v/>
      </c>
      <c r="F237" s="241" t="str">
        <f>IFERROR(VLOOKUP($B237,'Institution Evaluation'!$A$55:$F$345,6,0),IFERROR(VLOOKUP($B237,'Privacy Analyst Evaluation'!$A$46:$F$120,6,0),""))&amp;""</f>
        <v/>
      </c>
      <c r="G237" s="242"/>
      <c r="H237" s="241" t="str">
        <f>IFERROR(IF($H236+1&gt;'(backend scoring)'!$Q$335,"",$H236+1),"")</f>
        <v/>
      </c>
      <c r="I237" s="241" t="str">
        <f>_xlfn.XLOOKUP($H237,'(backend scoring)'!$S$2:$S$333,'(backend scoring)'!$A$2:$A$333,"")</f>
        <v/>
      </c>
      <c r="J237" s="241" t="str">
        <f>IFERROR(VLOOKUP($I237,'Institution Evaluation'!$A$55:$F$345,2,0),IFERROR(VLOOKUP($I237,'Privacy Analyst Evaluation'!$A$46:$F$120,2,0),""))</f>
        <v/>
      </c>
      <c r="K237" s="241" t="str">
        <f>IFERROR(VLOOKUP($I237,'Institution Evaluation'!$A$55:$F$345,3,0),IFERROR(VLOOKUP($I237,'Privacy Analyst Evaluation'!$A$46:$F$120,3,0),""))&amp;""</f>
        <v/>
      </c>
      <c r="L237" s="241" t="str">
        <f>IFERROR(VLOOKUP($I237,'Institution Evaluation'!$A$55:$F$345,4,0),IFERROR(VLOOKUP($I237,'Privacy Analyst Evaluation'!$A$46:$F$120,4,0),""))&amp;""</f>
        <v/>
      </c>
      <c r="M237" s="241" t="str">
        <f>IFERROR(VLOOKUP($I237,'Institution Evaluation'!$A$55:$F$345,6,0),IFERROR(VLOOKUP($I237,'Privacy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ht="17" x14ac:dyDescent="0.2">
      <c r="A238" s="241" t="str">
        <f>IFERROR(IF($A237+1&gt;'(backend scoring)'!$T$335,"",$A237+1),"")</f>
        <v/>
      </c>
      <c r="B238" s="241" t="str">
        <f>_xlfn.XLOOKUP($A238,'(backend scoring)'!$V$2:$V$333,'(backend scoring)'!$A$2:$A$333,"")</f>
        <v/>
      </c>
      <c r="C238" s="241" t="str">
        <f>IFERROR(VLOOKUP($B238,'Institution Evaluation'!$A$55:$F$345,2,0),IFERROR(VLOOKUP($B238,'Privacy Analyst Evaluation'!$A$46:$F$120,2,0),""))&amp;""</f>
        <v/>
      </c>
      <c r="D238" s="241" t="str">
        <f>IFERROR(VLOOKUP($B238,'Institution Evaluation'!$A$55:$F$345,3,0),IFERROR(VLOOKUP($B238,'Privacy Analyst Evaluation'!$A$46:$F$120,3,0),""))&amp;""</f>
        <v/>
      </c>
      <c r="E238" s="241" t="str">
        <f>IFERROR(VLOOKUP($B238,'Institution Evaluation'!$A$55:$F$345,4,0),IFERROR(VLOOKUP($B238,'Privacy Analyst Evaluation'!$A$46:$F$120,4,0),""))&amp;""</f>
        <v/>
      </c>
      <c r="F238" s="241" t="str">
        <f>IFERROR(VLOOKUP($B238,'Institution Evaluation'!$A$55:$F$345,6,0),IFERROR(VLOOKUP($B238,'Privacy Analyst Evaluation'!$A$46:$F$120,6,0),""))&amp;""</f>
        <v/>
      </c>
      <c r="G238" s="242"/>
      <c r="H238" s="241" t="str">
        <f>IFERROR(IF($H237+1&gt;'(backend scoring)'!$Q$335,"",$H237+1),"")</f>
        <v/>
      </c>
      <c r="I238" s="241" t="str">
        <f>_xlfn.XLOOKUP($H238,'(backend scoring)'!$S$2:$S$333,'(backend scoring)'!$A$2:$A$333,"")</f>
        <v/>
      </c>
      <c r="J238" s="241" t="str">
        <f>IFERROR(VLOOKUP($I238,'Institution Evaluation'!$A$55:$F$345,2,0),IFERROR(VLOOKUP($I238,'Privacy Analyst Evaluation'!$A$46:$F$120,2,0),""))</f>
        <v/>
      </c>
      <c r="K238" s="241" t="str">
        <f>IFERROR(VLOOKUP($I238,'Institution Evaluation'!$A$55:$F$345,3,0),IFERROR(VLOOKUP($I238,'Privacy Analyst Evaluation'!$A$46:$F$120,3,0),""))&amp;""</f>
        <v/>
      </c>
      <c r="L238" s="241" t="str">
        <f>IFERROR(VLOOKUP($I238,'Institution Evaluation'!$A$55:$F$345,4,0),IFERROR(VLOOKUP($I238,'Privacy Analyst Evaluation'!$A$46:$F$120,4,0),""))&amp;""</f>
        <v/>
      </c>
      <c r="M238" s="241" t="str">
        <f>IFERROR(VLOOKUP($I238,'Institution Evaluation'!$A$55:$F$345,6,0),IFERROR(VLOOKUP($I238,'Privacy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ht="17" x14ac:dyDescent="0.2">
      <c r="A239" s="241" t="str">
        <f>IFERROR(IF($A238+1&gt;'(backend scoring)'!$T$335,"",$A238+1),"")</f>
        <v/>
      </c>
      <c r="B239" s="241" t="str">
        <f>_xlfn.XLOOKUP($A239,'(backend scoring)'!$V$2:$V$333,'(backend scoring)'!$A$2:$A$333,"")</f>
        <v/>
      </c>
      <c r="C239" s="241" t="str">
        <f>IFERROR(VLOOKUP($B239,'Institution Evaluation'!$A$55:$F$345,2,0),IFERROR(VLOOKUP($B239,'Privacy Analyst Evaluation'!$A$46:$F$120,2,0),""))&amp;""</f>
        <v/>
      </c>
      <c r="D239" s="241" t="str">
        <f>IFERROR(VLOOKUP($B239,'Institution Evaluation'!$A$55:$F$345,3,0),IFERROR(VLOOKUP($B239,'Privacy Analyst Evaluation'!$A$46:$F$120,3,0),""))&amp;""</f>
        <v/>
      </c>
      <c r="E239" s="241" t="str">
        <f>IFERROR(VLOOKUP($B239,'Institution Evaluation'!$A$55:$F$345,4,0),IFERROR(VLOOKUP($B239,'Privacy Analyst Evaluation'!$A$46:$F$120,4,0),""))&amp;""</f>
        <v/>
      </c>
      <c r="F239" s="241" t="str">
        <f>IFERROR(VLOOKUP($B239,'Institution Evaluation'!$A$55:$F$345,6,0),IFERROR(VLOOKUP($B239,'Privacy Analyst Evaluation'!$A$46:$F$120,6,0),""))&amp;""</f>
        <v/>
      </c>
      <c r="G239" s="242"/>
      <c r="H239" s="241" t="str">
        <f>IFERROR(IF($H238+1&gt;'(backend scoring)'!$Q$335,"",$H238+1),"")</f>
        <v/>
      </c>
      <c r="I239" s="241" t="str">
        <f>_xlfn.XLOOKUP($H239,'(backend scoring)'!$S$2:$S$333,'(backend scoring)'!$A$2:$A$333,"")</f>
        <v/>
      </c>
      <c r="J239" s="241" t="str">
        <f>IFERROR(VLOOKUP($I239,'Institution Evaluation'!$A$55:$F$345,2,0),IFERROR(VLOOKUP($I239,'Privacy Analyst Evaluation'!$A$46:$F$120,2,0),""))</f>
        <v/>
      </c>
      <c r="K239" s="241" t="str">
        <f>IFERROR(VLOOKUP($I239,'Institution Evaluation'!$A$55:$F$345,3,0),IFERROR(VLOOKUP($I239,'Privacy Analyst Evaluation'!$A$46:$F$120,3,0),""))&amp;""</f>
        <v/>
      </c>
      <c r="L239" s="241" t="str">
        <f>IFERROR(VLOOKUP($I239,'Institution Evaluation'!$A$55:$F$345,4,0),IFERROR(VLOOKUP($I239,'Privacy Analyst Evaluation'!$A$46:$F$120,4,0),""))&amp;""</f>
        <v/>
      </c>
      <c r="M239" s="241" t="str">
        <f>IFERROR(VLOOKUP($I239,'Institution Evaluation'!$A$55:$F$345,6,0),IFERROR(VLOOKUP($I239,'Privacy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ht="17" x14ac:dyDescent="0.2">
      <c r="A240" s="241" t="str">
        <f>IFERROR(IF($A239+1&gt;'(backend scoring)'!$T$335,"",$A239+1),"")</f>
        <v/>
      </c>
      <c r="B240" s="241" t="str">
        <f>_xlfn.XLOOKUP($A240,'(backend scoring)'!$V$2:$V$333,'(backend scoring)'!$A$2:$A$333,"")</f>
        <v/>
      </c>
      <c r="C240" s="241" t="str">
        <f>IFERROR(VLOOKUP($B240,'Institution Evaluation'!$A$55:$F$345,2,0),IFERROR(VLOOKUP($B240,'Privacy Analyst Evaluation'!$A$46:$F$120,2,0),""))&amp;""</f>
        <v/>
      </c>
      <c r="D240" s="241" t="str">
        <f>IFERROR(VLOOKUP($B240,'Institution Evaluation'!$A$55:$F$345,3,0),IFERROR(VLOOKUP($B240,'Privacy Analyst Evaluation'!$A$46:$F$120,3,0),""))&amp;""</f>
        <v/>
      </c>
      <c r="E240" s="241" t="str">
        <f>IFERROR(VLOOKUP($B240,'Institution Evaluation'!$A$55:$F$345,4,0),IFERROR(VLOOKUP($B240,'Privacy Analyst Evaluation'!$A$46:$F$120,4,0),""))&amp;""</f>
        <v/>
      </c>
      <c r="F240" s="241" t="str">
        <f>IFERROR(VLOOKUP($B240,'Institution Evaluation'!$A$55:$F$345,6,0),IFERROR(VLOOKUP($B240,'Privacy Analyst Evaluation'!$A$46:$F$120,6,0),""))&amp;""</f>
        <v/>
      </c>
      <c r="G240" s="242"/>
      <c r="H240" s="241" t="str">
        <f>IFERROR(IF($H239+1&gt;'(backend scoring)'!$Q$335,"",$H239+1),"")</f>
        <v/>
      </c>
      <c r="I240" s="241" t="str">
        <f>_xlfn.XLOOKUP($H240,'(backend scoring)'!$S$2:$S$333,'(backend scoring)'!$A$2:$A$333,"")</f>
        <v/>
      </c>
      <c r="J240" s="241" t="str">
        <f>IFERROR(VLOOKUP($I240,'Institution Evaluation'!$A$55:$F$345,2,0),IFERROR(VLOOKUP($I240,'Privacy Analyst Evaluation'!$A$46:$F$120,2,0),""))</f>
        <v/>
      </c>
      <c r="K240" s="241" t="str">
        <f>IFERROR(VLOOKUP($I240,'Institution Evaluation'!$A$55:$F$345,3,0),IFERROR(VLOOKUP($I240,'Privacy Analyst Evaluation'!$A$46:$F$120,3,0),""))&amp;""</f>
        <v/>
      </c>
      <c r="L240" s="241" t="str">
        <f>IFERROR(VLOOKUP($I240,'Institution Evaluation'!$A$55:$F$345,4,0),IFERROR(VLOOKUP($I240,'Privacy Analyst Evaluation'!$A$46:$F$120,4,0),""))&amp;""</f>
        <v/>
      </c>
      <c r="M240" s="241" t="str">
        <f>IFERROR(VLOOKUP($I240,'Institution Evaluation'!$A$55:$F$345,6,0),IFERROR(VLOOKUP($I240,'Privacy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ht="17" x14ac:dyDescent="0.2">
      <c r="A241" s="241" t="str">
        <f>IFERROR(IF($A240+1&gt;'(backend scoring)'!$T$335,"",$A240+1),"")</f>
        <v/>
      </c>
      <c r="B241" s="241" t="str">
        <f>_xlfn.XLOOKUP($A241,'(backend scoring)'!$V$2:$V$333,'(backend scoring)'!$A$2:$A$333,"")</f>
        <v/>
      </c>
      <c r="C241" s="241" t="str">
        <f>IFERROR(VLOOKUP($B241,'Institution Evaluation'!$A$55:$F$345,2,0),IFERROR(VLOOKUP($B241,'Privacy Analyst Evaluation'!$A$46:$F$120,2,0),""))&amp;""</f>
        <v/>
      </c>
      <c r="D241" s="241" t="str">
        <f>IFERROR(VLOOKUP($B241,'Institution Evaluation'!$A$55:$F$345,3,0),IFERROR(VLOOKUP($B241,'Privacy Analyst Evaluation'!$A$46:$F$120,3,0),""))&amp;""</f>
        <v/>
      </c>
      <c r="E241" s="241" t="str">
        <f>IFERROR(VLOOKUP($B241,'Institution Evaluation'!$A$55:$F$345,4,0),IFERROR(VLOOKUP($B241,'Privacy Analyst Evaluation'!$A$46:$F$120,4,0),""))&amp;""</f>
        <v/>
      </c>
      <c r="F241" s="241" t="str">
        <f>IFERROR(VLOOKUP($B241,'Institution Evaluation'!$A$55:$F$345,6,0),IFERROR(VLOOKUP($B241,'Privacy Analyst Evaluation'!$A$46:$F$120,6,0),""))&amp;""</f>
        <v/>
      </c>
      <c r="G241" s="242"/>
      <c r="H241" s="241" t="str">
        <f>IFERROR(IF($H240+1&gt;'(backend scoring)'!$Q$335,"",$H240+1),"")</f>
        <v/>
      </c>
      <c r="I241" s="241" t="str">
        <f>_xlfn.XLOOKUP($H241,'(backend scoring)'!$S$2:$S$333,'(backend scoring)'!$A$2:$A$333,"")</f>
        <v/>
      </c>
      <c r="J241" s="241" t="str">
        <f>IFERROR(VLOOKUP($I241,'Institution Evaluation'!$A$55:$F$345,2,0),IFERROR(VLOOKUP($I241,'Privacy Analyst Evaluation'!$A$46:$F$120,2,0),""))</f>
        <v/>
      </c>
      <c r="K241" s="241" t="str">
        <f>IFERROR(VLOOKUP($I241,'Institution Evaluation'!$A$55:$F$345,3,0),IFERROR(VLOOKUP($I241,'Privacy Analyst Evaluation'!$A$46:$F$120,3,0),""))&amp;""</f>
        <v/>
      </c>
      <c r="L241" s="241" t="str">
        <f>IFERROR(VLOOKUP($I241,'Institution Evaluation'!$A$55:$F$345,4,0),IFERROR(VLOOKUP($I241,'Privacy Analyst Evaluation'!$A$46:$F$120,4,0),""))&amp;""</f>
        <v/>
      </c>
      <c r="M241" s="241" t="str">
        <f>IFERROR(VLOOKUP($I241,'Institution Evaluation'!$A$55:$F$345,6,0),IFERROR(VLOOKUP($I241,'Privacy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ht="17" x14ac:dyDescent="0.2">
      <c r="A242" s="241" t="str">
        <f>IFERROR(IF($A241+1&gt;'(backend scoring)'!$T$335,"",$A241+1),"")</f>
        <v/>
      </c>
      <c r="B242" s="241" t="str">
        <f>_xlfn.XLOOKUP($A242,'(backend scoring)'!$V$2:$V$333,'(backend scoring)'!$A$2:$A$333,"")</f>
        <v/>
      </c>
      <c r="C242" s="241" t="str">
        <f>IFERROR(VLOOKUP($B242,'Institution Evaluation'!$A$55:$F$345,2,0),IFERROR(VLOOKUP($B242,'Privacy Analyst Evaluation'!$A$46:$F$120,2,0),""))&amp;""</f>
        <v/>
      </c>
      <c r="D242" s="241" t="str">
        <f>IFERROR(VLOOKUP($B242,'Institution Evaluation'!$A$55:$F$345,3,0),IFERROR(VLOOKUP($B242,'Privacy Analyst Evaluation'!$A$46:$F$120,3,0),""))&amp;""</f>
        <v/>
      </c>
      <c r="E242" s="241" t="str">
        <f>IFERROR(VLOOKUP($B242,'Institution Evaluation'!$A$55:$F$345,4,0),IFERROR(VLOOKUP($B242,'Privacy Analyst Evaluation'!$A$46:$F$120,4,0),""))&amp;""</f>
        <v/>
      </c>
      <c r="F242" s="241" t="str">
        <f>IFERROR(VLOOKUP($B242,'Institution Evaluation'!$A$55:$F$345,6,0),IFERROR(VLOOKUP($B242,'Privacy Analyst Evaluation'!$A$46:$F$120,6,0),""))&amp;""</f>
        <v/>
      </c>
      <c r="G242" s="242"/>
      <c r="H242" s="241" t="str">
        <f>IFERROR(IF($H241+1&gt;'(backend scoring)'!$Q$335,"",$H241+1),"")</f>
        <v/>
      </c>
      <c r="I242" s="241" t="str">
        <f>_xlfn.XLOOKUP($H242,'(backend scoring)'!$S$2:$S$333,'(backend scoring)'!$A$2:$A$333,"")</f>
        <v/>
      </c>
      <c r="J242" s="241" t="str">
        <f>IFERROR(VLOOKUP($I242,'Institution Evaluation'!$A$55:$F$345,2,0),IFERROR(VLOOKUP($I242,'Privacy Analyst Evaluation'!$A$46:$F$120,2,0),""))</f>
        <v/>
      </c>
      <c r="K242" s="241" t="str">
        <f>IFERROR(VLOOKUP($I242,'Institution Evaluation'!$A$55:$F$345,3,0),IFERROR(VLOOKUP($I242,'Privacy Analyst Evaluation'!$A$46:$F$120,3,0),""))&amp;""</f>
        <v/>
      </c>
      <c r="L242" s="241" t="str">
        <f>IFERROR(VLOOKUP($I242,'Institution Evaluation'!$A$55:$F$345,4,0),IFERROR(VLOOKUP($I242,'Privacy Analyst Evaluation'!$A$46:$F$120,4,0),""))&amp;""</f>
        <v/>
      </c>
      <c r="M242" s="241" t="str">
        <f>IFERROR(VLOOKUP($I242,'Institution Evaluation'!$A$55:$F$345,6,0),IFERROR(VLOOKUP($I242,'Privacy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ht="17" x14ac:dyDescent="0.2">
      <c r="A243" s="241" t="str">
        <f>IFERROR(IF($A242+1&gt;'(backend scoring)'!$T$335,"",$A242+1),"")</f>
        <v/>
      </c>
      <c r="B243" s="241" t="str">
        <f>_xlfn.XLOOKUP($A243,'(backend scoring)'!$V$2:$V$333,'(backend scoring)'!$A$2:$A$333,"")</f>
        <v/>
      </c>
      <c r="C243" s="241" t="str">
        <f>IFERROR(VLOOKUP($B243,'Institution Evaluation'!$A$55:$F$345,2,0),IFERROR(VLOOKUP($B243,'Privacy Analyst Evaluation'!$A$46:$F$120,2,0),""))&amp;""</f>
        <v/>
      </c>
      <c r="D243" s="241" t="str">
        <f>IFERROR(VLOOKUP($B243,'Institution Evaluation'!$A$55:$F$345,3,0),IFERROR(VLOOKUP($B243,'Privacy Analyst Evaluation'!$A$46:$F$120,3,0),""))&amp;""</f>
        <v/>
      </c>
      <c r="E243" s="241" t="str">
        <f>IFERROR(VLOOKUP($B243,'Institution Evaluation'!$A$55:$F$345,4,0),IFERROR(VLOOKUP($B243,'Privacy Analyst Evaluation'!$A$46:$F$120,4,0),""))&amp;""</f>
        <v/>
      </c>
      <c r="F243" s="241" t="str">
        <f>IFERROR(VLOOKUP($B243,'Institution Evaluation'!$A$55:$F$345,6,0),IFERROR(VLOOKUP($B243,'Privacy Analyst Evaluation'!$A$46:$F$120,6,0),""))&amp;""</f>
        <v/>
      </c>
      <c r="G243" s="242"/>
      <c r="H243" s="241" t="str">
        <f>IFERROR(IF($H242+1&gt;'(backend scoring)'!$Q$335,"",$H242+1),"")</f>
        <v/>
      </c>
      <c r="I243" s="241" t="str">
        <f>_xlfn.XLOOKUP($H243,'(backend scoring)'!$S$2:$S$333,'(backend scoring)'!$A$2:$A$333,"")</f>
        <v/>
      </c>
      <c r="J243" s="241" t="str">
        <f>IFERROR(VLOOKUP($I243,'Institution Evaluation'!$A$55:$F$345,2,0),IFERROR(VLOOKUP($I243,'Privacy Analyst Evaluation'!$A$46:$F$120,2,0),""))</f>
        <v/>
      </c>
      <c r="K243" s="241" t="str">
        <f>IFERROR(VLOOKUP($I243,'Institution Evaluation'!$A$55:$F$345,3,0),IFERROR(VLOOKUP($I243,'Privacy Analyst Evaluation'!$A$46:$F$120,3,0),""))&amp;""</f>
        <v/>
      </c>
      <c r="L243" s="241" t="str">
        <f>IFERROR(VLOOKUP($I243,'Institution Evaluation'!$A$55:$F$345,4,0),IFERROR(VLOOKUP($I243,'Privacy Analyst Evaluation'!$A$46:$F$120,4,0),""))&amp;""</f>
        <v/>
      </c>
      <c r="M243" s="241" t="str">
        <f>IFERROR(VLOOKUP($I243,'Institution Evaluation'!$A$55:$F$345,6,0),IFERROR(VLOOKUP($I243,'Privacy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ht="17" x14ac:dyDescent="0.2">
      <c r="A244" s="241" t="str">
        <f>IFERROR(IF($A243+1&gt;'(backend scoring)'!$T$335,"",$A243+1),"")</f>
        <v/>
      </c>
      <c r="B244" s="241" t="str">
        <f>_xlfn.XLOOKUP($A244,'(backend scoring)'!$V$2:$V$333,'(backend scoring)'!$A$2:$A$333,"")</f>
        <v/>
      </c>
      <c r="C244" s="241" t="str">
        <f>IFERROR(VLOOKUP($B244,'Institution Evaluation'!$A$55:$F$345,2,0),IFERROR(VLOOKUP($B244,'Privacy Analyst Evaluation'!$A$46:$F$120,2,0),""))&amp;""</f>
        <v/>
      </c>
      <c r="D244" s="241" t="str">
        <f>IFERROR(VLOOKUP($B244,'Institution Evaluation'!$A$55:$F$345,3,0),IFERROR(VLOOKUP($B244,'Privacy Analyst Evaluation'!$A$46:$F$120,3,0),""))&amp;""</f>
        <v/>
      </c>
      <c r="E244" s="241" t="str">
        <f>IFERROR(VLOOKUP($B244,'Institution Evaluation'!$A$55:$F$345,4,0),IFERROR(VLOOKUP($B244,'Privacy Analyst Evaluation'!$A$46:$F$120,4,0),""))&amp;""</f>
        <v/>
      </c>
      <c r="F244" s="241" t="str">
        <f>IFERROR(VLOOKUP($B244,'Institution Evaluation'!$A$55:$F$345,6,0),IFERROR(VLOOKUP($B244,'Privacy Analyst Evaluation'!$A$46:$F$120,6,0),""))&amp;""</f>
        <v/>
      </c>
      <c r="G244" s="242"/>
      <c r="H244" s="241" t="str">
        <f>IFERROR(IF($H243+1&gt;'(backend scoring)'!$Q$335,"",$H243+1),"")</f>
        <v/>
      </c>
      <c r="I244" s="241" t="str">
        <f>_xlfn.XLOOKUP($H244,'(backend scoring)'!$S$2:$S$333,'(backend scoring)'!$A$2:$A$333,"")</f>
        <v/>
      </c>
      <c r="J244" s="241" t="str">
        <f>IFERROR(VLOOKUP($I244,'Institution Evaluation'!$A$55:$F$345,2,0),IFERROR(VLOOKUP($I244,'Privacy Analyst Evaluation'!$A$46:$F$120,2,0),""))</f>
        <v/>
      </c>
      <c r="K244" s="241" t="str">
        <f>IFERROR(VLOOKUP($I244,'Institution Evaluation'!$A$55:$F$345,3,0),IFERROR(VLOOKUP($I244,'Privacy Analyst Evaluation'!$A$46:$F$120,3,0),""))&amp;""</f>
        <v/>
      </c>
      <c r="L244" s="241" t="str">
        <f>IFERROR(VLOOKUP($I244,'Institution Evaluation'!$A$55:$F$345,4,0),IFERROR(VLOOKUP($I244,'Privacy Analyst Evaluation'!$A$46:$F$120,4,0),""))&amp;""</f>
        <v/>
      </c>
      <c r="M244" s="241" t="str">
        <f>IFERROR(VLOOKUP($I244,'Institution Evaluation'!$A$55:$F$345,6,0),IFERROR(VLOOKUP($I244,'Privacy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ht="17" x14ac:dyDescent="0.2">
      <c r="A245" s="241" t="str">
        <f>IFERROR(IF($A244+1&gt;'(backend scoring)'!$T$335,"",$A244+1),"")</f>
        <v/>
      </c>
      <c r="B245" s="241" t="str">
        <f>_xlfn.XLOOKUP($A245,'(backend scoring)'!$V$2:$V$333,'(backend scoring)'!$A$2:$A$333,"")</f>
        <v/>
      </c>
      <c r="C245" s="241" t="str">
        <f>IFERROR(VLOOKUP($B245,'Institution Evaluation'!$A$55:$F$345,2,0),IFERROR(VLOOKUP($B245,'Privacy Analyst Evaluation'!$A$46:$F$120,2,0),""))&amp;""</f>
        <v/>
      </c>
      <c r="D245" s="241" t="str">
        <f>IFERROR(VLOOKUP($B245,'Institution Evaluation'!$A$55:$F$345,3,0),IFERROR(VLOOKUP($B245,'Privacy Analyst Evaluation'!$A$46:$F$120,3,0),""))&amp;""</f>
        <v/>
      </c>
      <c r="E245" s="241" t="str">
        <f>IFERROR(VLOOKUP($B245,'Institution Evaluation'!$A$55:$F$345,4,0),IFERROR(VLOOKUP($B245,'Privacy Analyst Evaluation'!$A$46:$F$120,4,0),""))&amp;""</f>
        <v/>
      </c>
      <c r="F245" s="241" t="str">
        <f>IFERROR(VLOOKUP($B245,'Institution Evaluation'!$A$55:$F$345,6,0),IFERROR(VLOOKUP($B245,'Privacy Analyst Evaluation'!$A$46:$F$120,6,0),""))&amp;""</f>
        <v/>
      </c>
      <c r="G245" s="242"/>
      <c r="H245" s="241" t="str">
        <f>IFERROR(IF($H244+1&gt;'(backend scoring)'!$Q$335,"",$H244+1),"")</f>
        <v/>
      </c>
      <c r="I245" s="241" t="str">
        <f>_xlfn.XLOOKUP($H245,'(backend scoring)'!$S$2:$S$333,'(backend scoring)'!$A$2:$A$333,"")</f>
        <v/>
      </c>
      <c r="J245" s="241" t="str">
        <f>IFERROR(VLOOKUP($I245,'Institution Evaluation'!$A$55:$F$345,2,0),IFERROR(VLOOKUP($I245,'Privacy Analyst Evaluation'!$A$46:$F$120,2,0),""))</f>
        <v/>
      </c>
      <c r="K245" s="241" t="str">
        <f>IFERROR(VLOOKUP($I245,'Institution Evaluation'!$A$55:$F$345,3,0),IFERROR(VLOOKUP($I245,'Privacy Analyst Evaluation'!$A$46:$F$120,3,0),""))&amp;""</f>
        <v/>
      </c>
      <c r="L245" s="241" t="str">
        <f>IFERROR(VLOOKUP($I245,'Institution Evaluation'!$A$55:$F$345,4,0),IFERROR(VLOOKUP($I245,'Privacy Analyst Evaluation'!$A$46:$F$120,4,0),""))&amp;""</f>
        <v/>
      </c>
      <c r="M245" s="241" t="str">
        <f>IFERROR(VLOOKUP($I245,'Institution Evaluation'!$A$55:$F$345,6,0),IFERROR(VLOOKUP($I245,'Privacy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ht="17" x14ac:dyDescent="0.2">
      <c r="A246" s="241" t="str">
        <f>IFERROR(IF($A245+1&gt;'(backend scoring)'!$T$335,"",$A245+1),"")</f>
        <v/>
      </c>
      <c r="B246" s="241" t="str">
        <f>_xlfn.XLOOKUP($A246,'(backend scoring)'!$V$2:$V$333,'(backend scoring)'!$A$2:$A$333,"")</f>
        <v/>
      </c>
      <c r="C246" s="241" t="str">
        <f>IFERROR(VLOOKUP($B246,'Institution Evaluation'!$A$55:$F$345,2,0),IFERROR(VLOOKUP($B246,'Privacy Analyst Evaluation'!$A$46:$F$120,2,0),""))&amp;""</f>
        <v/>
      </c>
      <c r="D246" s="241" t="str">
        <f>IFERROR(VLOOKUP($B246,'Institution Evaluation'!$A$55:$F$345,3,0),IFERROR(VLOOKUP($B246,'Privacy Analyst Evaluation'!$A$46:$F$120,3,0),""))&amp;""</f>
        <v/>
      </c>
      <c r="E246" s="241" t="str">
        <f>IFERROR(VLOOKUP($B246,'Institution Evaluation'!$A$55:$F$345,4,0),IFERROR(VLOOKUP($B246,'Privacy Analyst Evaluation'!$A$46:$F$120,4,0),""))&amp;""</f>
        <v/>
      </c>
      <c r="F246" s="241" t="str">
        <f>IFERROR(VLOOKUP($B246,'Institution Evaluation'!$A$55:$F$345,6,0),IFERROR(VLOOKUP($B246,'Privacy Analyst Evaluation'!$A$46:$F$120,6,0),""))&amp;""</f>
        <v/>
      </c>
      <c r="G246" s="242"/>
      <c r="H246" s="241" t="str">
        <f>IFERROR(IF($H245+1&gt;'(backend scoring)'!$Q$335,"",$H245+1),"")</f>
        <v/>
      </c>
      <c r="I246" s="241" t="str">
        <f>_xlfn.XLOOKUP($H246,'(backend scoring)'!$S$2:$S$333,'(backend scoring)'!$A$2:$A$333,"")</f>
        <v/>
      </c>
      <c r="J246" s="241" t="str">
        <f>IFERROR(VLOOKUP($I246,'Institution Evaluation'!$A$55:$F$345,2,0),IFERROR(VLOOKUP($I246,'Privacy Analyst Evaluation'!$A$46:$F$120,2,0),""))</f>
        <v/>
      </c>
      <c r="K246" s="241" t="str">
        <f>IFERROR(VLOOKUP($I246,'Institution Evaluation'!$A$55:$F$345,3,0),IFERROR(VLOOKUP($I246,'Privacy Analyst Evaluation'!$A$46:$F$120,3,0),""))&amp;""</f>
        <v/>
      </c>
      <c r="L246" s="241" t="str">
        <f>IFERROR(VLOOKUP($I246,'Institution Evaluation'!$A$55:$F$345,4,0),IFERROR(VLOOKUP($I246,'Privacy Analyst Evaluation'!$A$46:$F$120,4,0),""))&amp;""</f>
        <v/>
      </c>
      <c r="M246" s="241" t="str">
        <f>IFERROR(VLOOKUP($I246,'Institution Evaluation'!$A$55:$F$345,6,0),IFERROR(VLOOKUP($I246,'Privacy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ht="17" x14ac:dyDescent="0.2">
      <c r="A247" s="241" t="str">
        <f>IFERROR(IF($A246+1&gt;'(backend scoring)'!$T$335,"",$A246+1),"")</f>
        <v/>
      </c>
      <c r="B247" s="241" t="str">
        <f>_xlfn.XLOOKUP($A247,'(backend scoring)'!$V$2:$V$333,'(backend scoring)'!$A$2:$A$333,"")</f>
        <v/>
      </c>
      <c r="C247" s="241" t="str">
        <f>IFERROR(VLOOKUP($B247,'Institution Evaluation'!$A$55:$F$345,2,0),IFERROR(VLOOKUP($B247,'Privacy Analyst Evaluation'!$A$46:$F$120,2,0),""))&amp;""</f>
        <v/>
      </c>
      <c r="D247" s="241" t="str">
        <f>IFERROR(VLOOKUP($B247,'Institution Evaluation'!$A$55:$F$345,3,0),IFERROR(VLOOKUP($B247,'Privacy Analyst Evaluation'!$A$46:$F$120,3,0),""))&amp;""</f>
        <v/>
      </c>
      <c r="E247" s="241" t="str">
        <f>IFERROR(VLOOKUP($B247,'Institution Evaluation'!$A$55:$F$345,4,0),IFERROR(VLOOKUP($B247,'Privacy Analyst Evaluation'!$A$46:$F$120,4,0),""))&amp;""</f>
        <v/>
      </c>
      <c r="F247" s="241" t="str">
        <f>IFERROR(VLOOKUP($B247,'Institution Evaluation'!$A$55:$F$345,6,0),IFERROR(VLOOKUP($B247,'Privacy Analyst Evaluation'!$A$46:$F$120,6,0),""))&amp;""</f>
        <v/>
      </c>
      <c r="G247" s="242"/>
      <c r="H247" s="241" t="str">
        <f>IFERROR(IF($H246+1&gt;'(backend scoring)'!$Q$335,"",$H246+1),"")</f>
        <v/>
      </c>
      <c r="I247" s="241" t="str">
        <f>_xlfn.XLOOKUP($H247,'(backend scoring)'!$S$2:$S$333,'(backend scoring)'!$A$2:$A$333,"")</f>
        <v/>
      </c>
      <c r="J247" s="241" t="str">
        <f>IFERROR(VLOOKUP($I247,'Institution Evaluation'!$A$55:$F$345,2,0),IFERROR(VLOOKUP($I247,'Privacy Analyst Evaluation'!$A$46:$F$120,2,0),""))</f>
        <v/>
      </c>
      <c r="K247" s="241" t="str">
        <f>IFERROR(VLOOKUP($I247,'Institution Evaluation'!$A$55:$F$345,3,0),IFERROR(VLOOKUP($I247,'Privacy Analyst Evaluation'!$A$46:$F$120,3,0),""))&amp;""</f>
        <v/>
      </c>
      <c r="L247" s="241" t="str">
        <f>IFERROR(VLOOKUP($I247,'Institution Evaluation'!$A$55:$F$345,4,0),IFERROR(VLOOKUP($I247,'Privacy Analyst Evaluation'!$A$46:$F$120,4,0),""))&amp;""</f>
        <v/>
      </c>
      <c r="M247" s="241" t="str">
        <f>IFERROR(VLOOKUP($I247,'Institution Evaluation'!$A$55:$F$345,6,0),IFERROR(VLOOKUP($I247,'Privacy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ht="17" x14ac:dyDescent="0.2">
      <c r="A248" s="241" t="str">
        <f>IFERROR(IF($A247+1&gt;'(backend scoring)'!$T$335,"",$A247+1),"")</f>
        <v/>
      </c>
      <c r="B248" s="241" t="str">
        <f>_xlfn.XLOOKUP($A248,'(backend scoring)'!$V$2:$V$333,'(backend scoring)'!$A$2:$A$333,"")</f>
        <v/>
      </c>
      <c r="C248" s="241" t="str">
        <f>IFERROR(VLOOKUP($B248,'Institution Evaluation'!$A$55:$F$345,2,0),IFERROR(VLOOKUP($B248,'Privacy Analyst Evaluation'!$A$46:$F$120,2,0),""))&amp;""</f>
        <v/>
      </c>
      <c r="D248" s="241" t="str">
        <f>IFERROR(VLOOKUP($B248,'Institution Evaluation'!$A$55:$F$345,3,0),IFERROR(VLOOKUP($B248,'Privacy Analyst Evaluation'!$A$46:$F$120,3,0),""))&amp;""</f>
        <v/>
      </c>
      <c r="E248" s="241" t="str">
        <f>IFERROR(VLOOKUP($B248,'Institution Evaluation'!$A$55:$F$345,4,0),IFERROR(VLOOKUP($B248,'Privacy Analyst Evaluation'!$A$46:$F$120,4,0),""))&amp;""</f>
        <v/>
      </c>
      <c r="F248" s="241" t="str">
        <f>IFERROR(VLOOKUP($B248,'Institution Evaluation'!$A$55:$F$345,6,0),IFERROR(VLOOKUP($B248,'Privacy Analyst Evaluation'!$A$46:$F$120,6,0),""))&amp;""</f>
        <v/>
      </c>
      <c r="G248" s="242"/>
      <c r="H248" s="241" t="str">
        <f>IFERROR(IF($H247+1&gt;'(backend scoring)'!$Q$335,"",$H247+1),"")</f>
        <v/>
      </c>
      <c r="I248" s="241" t="str">
        <f>_xlfn.XLOOKUP($H248,'(backend scoring)'!$S$2:$S$333,'(backend scoring)'!$A$2:$A$333,"")</f>
        <v/>
      </c>
      <c r="J248" s="241" t="str">
        <f>IFERROR(VLOOKUP($I248,'Institution Evaluation'!$A$55:$F$345,2,0),IFERROR(VLOOKUP($I248,'Privacy Analyst Evaluation'!$A$46:$F$120,2,0),""))</f>
        <v/>
      </c>
      <c r="K248" s="241" t="str">
        <f>IFERROR(VLOOKUP($I248,'Institution Evaluation'!$A$55:$F$345,3,0),IFERROR(VLOOKUP($I248,'Privacy Analyst Evaluation'!$A$46:$F$120,3,0),""))&amp;""</f>
        <v/>
      </c>
      <c r="L248" s="241" t="str">
        <f>IFERROR(VLOOKUP($I248,'Institution Evaluation'!$A$55:$F$345,4,0),IFERROR(VLOOKUP($I248,'Privacy Analyst Evaluation'!$A$46:$F$120,4,0),""))&amp;""</f>
        <v/>
      </c>
      <c r="M248" s="241" t="str">
        <f>IFERROR(VLOOKUP($I248,'Institution Evaluation'!$A$55:$F$345,6,0),IFERROR(VLOOKUP($I248,'Privacy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ht="17" x14ac:dyDescent="0.2">
      <c r="A249" s="241" t="str">
        <f>IFERROR(IF($A248+1&gt;'(backend scoring)'!$T$335,"",$A248+1),"")</f>
        <v/>
      </c>
      <c r="B249" s="241" t="str">
        <f>_xlfn.XLOOKUP($A249,'(backend scoring)'!$V$2:$V$333,'(backend scoring)'!$A$2:$A$333,"")</f>
        <v/>
      </c>
      <c r="C249" s="241" t="str">
        <f>IFERROR(VLOOKUP($B249,'Institution Evaluation'!$A$55:$F$345,2,0),IFERROR(VLOOKUP($B249,'Privacy Analyst Evaluation'!$A$46:$F$120,2,0),""))&amp;""</f>
        <v/>
      </c>
      <c r="D249" s="241" t="str">
        <f>IFERROR(VLOOKUP($B249,'Institution Evaluation'!$A$55:$F$345,3,0),IFERROR(VLOOKUP($B249,'Privacy Analyst Evaluation'!$A$46:$F$120,3,0),""))&amp;""</f>
        <v/>
      </c>
      <c r="E249" s="241" t="str">
        <f>IFERROR(VLOOKUP($B249,'Institution Evaluation'!$A$55:$F$345,4,0),IFERROR(VLOOKUP($B249,'Privacy Analyst Evaluation'!$A$46:$F$120,4,0),""))&amp;""</f>
        <v/>
      </c>
      <c r="F249" s="241" t="str">
        <f>IFERROR(VLOOKUP($B249,'Institution Evaluation'!$A$55:$F$345,6,0),IFERROR(VLOOKUP($B249,'Privacy Analyst Evaluation'!$A$46:$F$120,6,0),""))&amp;""</f>
        <v/>
      </c>
      <c r="G249" s="242"/>
      <c r="H249" s="241" t="str">
        <f>IFERROR(IF($H248+1&gt;'(backend scoring)'!$Q$335,"",$H248+1),"")</f>
        <v/>
      </c>
      <c r="I249" s="241" t="str">
        <f>_xlfn.XLOOKUP($H249,'(backend scoring)'!$S$2:$S$333,'(backend scoring)'!$A$2:$A$333,"")</f>
        <v/>
      </c>
      <c r="J249" s="241" t="str">
        <f>IFERROR(VLOOKUP($I249,'Institution Evaluation'!$A$55:$F$345,2,0),IFERROR(VLOOKUP($I249,'Privacy Analyst Evaluation'!$A$46:$F$120,2,0),""))</f>
        <v/>
      </c>
      <c r="K249" s="241" t="str">
        <f>IFERROR(VLOOKUP($I249,'Institution Evaluation'!$A$55:$F$345,3,0),IFERROR(VLOOKUP($I249,'Privacy Analyst Evaluation'!$A$46:$F$120,3,0),""))&amp;""</f>
        <v/>
      </c>
      <c r="L249" s="241" t="str">
        <f>IFERROR(VLOOKUP($I249,'Institution Evaluation'!$A$55:$F$345,4,0),IFERROR(VLOOKUP($I249,'Privacy Analyst Evaluation'!$A$46:$F$120,4,0),""))&amp;""</f>
        <v/>
      </c>
      <c r="M249" s="241" t="str">
        <f>IFERROR(VLOOKUP($I249,'Institution Evaluation'!$A$55:$F$345,6,0),IFERROR(VLOOKUP($I249,'Privacy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ht="17" x14ac:dyDescent="0.2">
      <c r="A250" s="241" t="str">
        <f>IFERROR(IF($A249+1&gt;'(backend scoring)'!$T$335,"",$A249+1),"")</f>
        <v/>
      </c>
      <c r="B250" s="241" t="str">
        <f>_xlfn.XLOOKUP($A250,'(backend scoring)'!$V$2:$V$333,'(backend scoring)'!$A$2:$A$333,"")</f>
        <v/>
      </c>
      <c r="C250" s="241" t="str">
        <f>IFERROR(VLOOKUP($B250,'Institution Evaluation'!$A$55:$F$345,2,0),IFERROR(VLOOKUP($B250,'Privacy Analyst Evaluation'!$A$46:$F$120,2,0),""))&amp;""</f>
        <v/>
      </c>
      <c r="D250" s="241" t="str">
        <f>IFERROR(VLOOKUP($B250,'Institution Evaluation'!$A$55:$F$345,3,0),IFERROR(VLOOKUP($B250,'Privacy Analyst Evaluation'!$A$46:$F$120,3,0),""))&amp;""</f>
        <v/>
      </c>
      <c r="E250" s="241" t="str">
        <f>IFERROR(VLOOKUP($B250,'Institution Evaluation'!$A$55:$F$345,4,0),IFERROR(VLOOKUP($B250,'Privacy Analyst Evaluation'!$A$46:$F$120,4,0),""))&amp;""</f>
        <v/>
      </c>
      <c r="F250" s="241" t="str">
        <f>IFERROR(VLOOKUP($B250,'Institution Evaluation'!$A$55:$F$345,6,0),IFERROR(VLOOKUP($B250,'Privacy Analyst Evaluation'!$A$46:$F$120,6,0),""))&amp;""</f>
        <v/>
      </c>
      <c r="G250" s="242"/>
      <c r="H250" s="241" t="str">
        <f>IFERROR(IF($H249+1&gt;'(backend scoring)'!$Q$335,"",$H249+1),"")</f>
        <v/>
      </c>
      <c r="I250" s="241" t="str">
        <f>_xlfn.XLOOKUP($H250,'(backend scoring)'!$S$2:$S$333,'(backend scoring)'!$A$2:$A$333,"")</f>
        <v/>
      </c>
      <c r="J250" s="241" t="str">
        <f>IFERROR(VLOOKUP($I250,'Institution Evaluation'!$A$55:$F$345,2,0),IFERROR(VLOOKUP($I250,'Privacy Analyst Evaluation'!$A$46:$F$120,2,0),""))</f>
        <v/>
      </c>
      <c r="K250" s="241" t="str">
        <f>IFERROR(VLOOKUP($I250,'Institution Evaluation'!$A$55:$F$345,3,0),IFERROR(VLOOKUP($I250,'Privacy Analyst Evaluation'!$A$46:$F$120,3,0),""))&amp;""</f>
        <v/>
      </c>
      <c r="L250" s="241" t="str">
        <f>IFERROR(VLOOKUP($I250,'Institution Evaluation'!$A$55:$F$345,4,0),IFERROR(VLOOKUP($I250,'Privacy Analyst Evaluation'!$A$46:$F$120,4,0),""))&amp;""</f>
        <v/>
      </c>
      <c r="M250" s="241" t="str">
        <f>IFERROR(VLOOKUP($I250,'Institution Evaluation'!$A$55:$F$345,6,0),IFERROR(VLOOKUP($I250,'Privacy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ht="17" x14ac:dyDescent="0.2">
      <c r="A251" s="241" t="str">
        <f>IFERROR(IF($A250+1&gt;'(backend scoring)'!$T$335,"",$A250+1),"")</f>
        <v/>
      </c>
      <c r="B251" s="241" t="str">
        <f>_xlfn.XLOOKUP($A251,'(backend scoring)'!$V$2:$V$333,'(backend scoring)'!$A$2:$A$333,"")</f>
        <v/>
      </c>
      <c r="C251" s="241" t="str">
        <f>IFERROR(VLOOKUP($B251,'Institution Evaluation'!$A$55:$F$345,2,0),IFERROR(VLOOKUP($B251,'Privacy Analyst Evaluation'!$A$46:$F$120,2,0),""))&amp;""</f>
        <v/>
      </c>
      <c r="D251" s="241" t="str">
        <f>IFERROR(VLOOKUP($B251,'Institution Evaluation'!$A$55:$F$345,3,0),IFERROR(VLOOKUP($B251,'Privacy Analyst Evaluation'!$A$46:$F$120,3,0),""))&amp;""</f>
        <v/>
      </c>
      <c r="E251" s="241" t="str">
        <f>IFERROR(VLOOKUP($B251,'Institution Evaluation'!$A$55:$F$345,4,0),IFERROR(VLOOKUP($B251,'Privacy Analyst Evaluation'!$A$46:$F$120,4,0),""))&amp;""</f>
        <v/>
      </c>
      <c r="F251" s="241" t="str">
        <f>IFERROR(VLOOKUP($B251,'Institution Evaluation'!$A$55:$F$345,6,0),IFERROR(VLOOKUP($B251,'Privacy Analyst Evaluation'!$A$46:$F$120,6,0),""))&amp;""</f>
        <v/>
      </c>
      <c r="G251" s="242"/>
      <c r="H251" s="241" t="str">
        <f>IFERROR(IF($H250+1&gt;'(backend scoring)'!$Q$335,"",$H250+1),"")</f>
        <v/>
      </c>
      <c r="I251" s="241" t="str">
        <f>_xlfn.XLOOKUP($H251,'(backend scoring)'!$S$2:$S$333,'(backend scoring)'!$A$2:$A$333,"")</f>
        <v/>
      </c>
      <c r="J251" s="241" t="str">
        <f>IFERROR(VLOOKUP($I251,'Institution Evaluation'!$A$55:$F$345,2,0),IFERROR(VLOOKUP($I251,'Privacy Analyst Evaluation'!$A$46:$F$120,2,0),""))</f>
        <v/>
      </c>
      <c r="K251" s="241" t="str">
        <f>IFERROR(VLOOKUP($I251,'Institution Evaluation'!$A$55:$F$345,3,0),IFERROR(VLOOKUP($I251,'Privacy Analyst Evaluation'!$A$46:$F$120,3,0),""))&amp;""</f>
        <v/>
      </c>
      <c r="L251" s="241" t="str">
        <f>IFERROR(VLOOKUP($I251,'Institution Evaluation'!$A$55:$F$345,4,0),IFERROR(VLOOKUP($I251,'Privacy Analyst Evaluation'!$A$46:$F$120,4,0),""))&amp;""</f>
        <v/>
      </c>
      <c r="M251" s="241" t="str">
        <f>IFERROR(VLOOKUP($I251,'Institution Evaluation'!$A$55:$F$345,6,0),IFERROR(VLOOKUP($I251,'Privacy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ht="17" x14ac:dyDescent="0.2">
      <c r="A252" s="241" t="str">
        <f>IFERROR(IF($A251+1&gt;'(backend scoring)'!$T$335,"",$A251+1),"")</f>
        <v/>
      </c>
      <c r="B252" s="241" t="str">
        <f>_xlfn.XLOOKUP($A252,'(backend scoring)'!$V$2:$V$333,'(backend scoring)'!$A$2:$A$333,"")</f>
        <v/>
      </c>
      <c r="C252" s="241" t="str">
        <f>IFERROR(VLOOKUP($B252,'Institution Evaluation'!$A$55:$F$345,2,0),IFERROR(VLOOKUP($B252,'Privacy Analyst Evaluation'!$A$46:$F$120,2,0),""))&amp;""</f>
        <v/>
      </c>
      <c r="D252" s="241" t="str">
        <f>IFERROR(VLOOKUP($B252,'Institution Evaluation'!$A$55:$F$345,3,0),IFERROR(VLOOKUP($B252,'Privacy Analyst Evaluation'!$A$46:$F$120,3,0),""))&amp;""</f>
        <v/>
      </c>
      <c r="E252" s="241" t="str">
        <f>IFERROR(VLOOKUP($B252,'Institution Evaluation'!$A$55:$F$345,4,0),IFERROR(VLOOKUP($B252,'Privacy Analyst Evaluation'!$A$46:$F$120,4,0),""))&amp;""</f>
        <v/>
      </c>
      <c r="F252" s="241" t="str">
        <f>IFERROR(VLOOKUP($B252,'Institution Evaluation'!$A$55:$F$345,6,0),IFERROR(VLOOKUP($B252,'Privacy Analyst Evaluation'!$A$46:$F$120,6,0),""))&amp;""</f>
        <v/>
      </c>
      <c r="G252" s="242"/>
      <c r="H252" s="241" t="str">
        <f>IFERROR(IF($H251+1&gt;'(backend scoring)'!$Q$335,"",$H251+1),"")</f>
        <v/>
      </c>
      <c r="I252" s="241" t="str">
        <f>_xlfn.XLOOKUP($H252,'(backend scoring)'!$S$2:$S$333,'(backend scoring)'!$A$2:$A$333,"")</f>
        <v/>
      </c>
      <c r="J252" s="241" t="str">
        <f>IFERROR(VLOOKUP($I252,'Institution Evaluation'!$A$55:$F$345,2,0),IFERROR(VLOOKUP($I252,'Privacy Analyst Evaluation'!$A$46:$F$120,2,0),""))</f>
        <v/>
      </c>
      <c r="K252" s="241" t="str">
        <f>IFERROR(VLOOKUP($I252,'Institution Evaluation'!$A$55:$F$345,3,0),IFERROR(VLOOKUP($I252,'Privacy Analyst Evaluation'!$A$46:$F$120,3,0),""))&amp;""</f>
        <v/>
      </c>
      <c r="L252" s="241" t="str">
        <f>IFERROR(VLOOKUP($I252,'Institution Evaluation'!$A$55:$F$345,4,0),IFERROR(VLOOKUP($I252,'Privacy Analyst Evaluation'!$A$46:$F$120,4,0),""))&amp;""</f>
        <v/>
      </c>
      <c r="M252" s="241" t="str">
        <f>IFERROR(VLOOKUP($I252,'Institution Evaluation'!$A$55:$F$345,6,0),IFERROR(VLOOKUP($I252,'Privacy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ht="17" x14ac:dyDescent="0.2">
      <c r="A253" s="241" t="str">
        <f>IFERROR(IF($A252+1&gt;'(backend scoring)'!$T$335,"",$A252+1),"")</f>
        <v/>
      </c>
      <c r="B253" s="241" t="str">
        <f>_xlfn.XLOOKUP($A253,'(backend scoring)'!$V$2:$V$333,'(backend scoring)'!$A$2:$A$333,"")</f>
        <v/>
      </c>
      <c r="C253" s="241" t="str">
        <f>IFERROR(VLOOKUP($B253,'Institution Evaluation'!$A$55:$F$345,2,0),IFERROR(VLOOKUP($B253,'Privacy Analyst Evaluation'!$A$46:$F$120,2,0),""))&amp;""</f>
        <v/>
      </c>
      <c r="D253" s="241" t="str">
        <f>IFERROR(VLOOKUP($B253,'Institution Evaluation'!$A$55:$F$345,3,0),IFERROR(VLOOKUP($B253,'Privacy Analyst Evaluation'!$A$46:$F$120,3,0),""))&amp;""</f>
        <v/>
      </c>
      <c r="E253" s="241" t="str">
        <f>IFERROR(VLOOKUP($B253,'Institution Evaluation'!$A$55:$F$345,4,0),IFERROR(VLOOKUP($B253,'Privacy Analyst Evaluation'!$A$46:$F$120,4,0),""))&amp;""</f>
        <v/>
      </c>
      <c r="F253" s="241" t="str">
        <f>IFERROR(VLOOKUP($B253,'Institution Evaluation'!$A$55:$F$345,6,0),IFERROR(VLOOKUP($B253,'Privacy Analyst Evaluation'!$A$46:$F$120,6,0),""))&amp;""</f>
        <v/>
      </c>
      <c r="G253" s="242"/>
      <c r="H253" s="241" t="str">
        <f>IFERROR(IF($H252+1&gt;'(backend scoring)'!$Q$335,"",$H252+1),"")</f>
        <v/>
      </c>
      <c r="I253" s="241" t="str">
        <f>_xlfn.XLOOKUP($H253,'(backend scoring)'!$S$2:$S$333,'(backend scoring)'!$A$2:$A$333,"")</f>
        <v/>
      </c>
      <c r="J253" s="241" t="str">
        <f>IFERROR(VLOOKUP($I253,'Institution Evaluation'!$A$55:$F$345,2,0),IFERROR(VLOOKUP($I253,'Privacy Analyst Evaluation'!$A$46:$F$120,2,0),""))</f>
        <v/>
      </c>
      <c r="K253" s="241" t="str">
        <f>IFERROR(VLOOKUP($I253,'Institution Evaluation'!$A$55:$F$345,3,0),IFERROR(VLOOKUP($I253,'Privacy Analyst Evaluation'!$A$46:$F$120,3,0),""))&amp;""</f>
        <v/>
      </c>
      <c r="L253" s="241" t="str">
        <f>IFERROR(VLOOKUP($I253,'Institution Evaluation'!$A$55:$F$345,4,0),IFERROR(VLOOKUP($I253,'Privacy Analyst Evaluation'!$A$46:$F$120,4,0),""))&amp;""</f>
        <v/>
      </c>
      <c r="M253" s="241" t="str">
        <f>IFERROR(VLOOKUP($I253,'Institution Evaluation'!$A$55:$F$345,6,0),IFERROR(VLOOKUP($I253,'Privacy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ht="17" x14ac:dyDescent="0.2">
      <c r="A254" s="241" t="str">
        <f>IFERROR(IF($A253+1&gt;'(backend scoring)'!$T$335,"",$A253+1),"")</f>
        <v/>
      </c>
      <c r="B254" s="241" t="str">
        <f>_xlfn.XLOOKUP($A254,'(backend scoring)'!$V$2:$V$333,'(backend scoring)'!$A$2:$A$333,"")</f>
        <v/>
      </c>
      <c r="C254" s="241" t="str">
        <f>IFERROR(VLOOKUP($B254,'Institution Evaluation'!$A$55:$F$345,2,0),IFERROR(VLOOKUP($B254,'Privacy Analyst Evaluation'!$A$46:$F$120,2,0),""))&amp;""</f>
        <v/>
      </c>
      <c r="D254" s="241" t="str">
        <f>IFERROR(VLOOKUP($B254,'Institution Evaluation'!$A$55:$F$345,3,0),IFERROR(VLOOKUP($B254,'Privacy Analyst Evaluation'!$A$46:$F$120,3,0),""))&amp;""</f>
        <v/>
      </c>
      <c r="E254" s="241" t="str">
        <f>IFERROR(VLOOKUP($B254,'Institution Evaluation'!$A$55:$F$345,4,0),IFERROR(VLOOKUP($B254,'Privacy Analyst Evaluation'!$A$46:$F$120,4,0),""))&amp;""</f>
        <v/>
      </c>
      <c r="F254" s="241" t="str">
        <f>IFERROR(VLOOKUP($B254,'Institution Evaluation'!$A$55:$F$345,6,0),IFERROR(VLOOKUP($B254,'Privacy Analyst Evaluation'!$A$46:$F$120,6,0),""))&amp;""</f>
        <v/>
      </c>
      <c r="G254" s="242"/>
      <c r="H254" s="241" t="str">
        <f>IFERROR(IF($H253+1&gt;'(backend scoring)'!$Q$335,"",$H253+1),"")</f>
        <v/>
      </c>
      <c r="I254" s="241" t="str">
        <f>_xlfn.XLOOKUP($H254,'(backend scoring)'!$S$2:$S$333,'(backend scoring)'!$A$2:$A$333,"")</f>
        <v/>
      </c>
      <c r="J254" s="241" t="str">
        <f>IFERROR(VLOOKUP($I254,'Institution Evaluation'!$A$55:$F$345,2,0),IFERROR(VLOOKUP($I254,'Privacy Analyst Evaluation'!$A$46:$F$120,2,0),""))</f>
        <v/>
      </c>
      <c r="K254" s="241" t="str">
        <f>IFERROR(VLOOKUP($I254,'Institution Evaluation'!$A$55:$F$345,3,0),IFERROR(VLOOKUP($I254,'Privacy Analyst Evaluation'!$A$46:$F$120,3,0),""))&amp;""</f>
        <v/>
      </c>
      <c r="L254" s="241" t="str">
        <f>IFERROR(VLOOKUP($I254,'Institution Evaluation'!$A$55:$F$345,4,0),IFERROR(VLOOKUP($I254,'Privacy Analyst Evaluation'!$A$46:$F$120,4,0),""))&amp;""</f>
        <v/>
      </c>
      <c r="M254" s="241" t="str">
        <f>IFERROR(VLOOKUP($I254,'Institution Evaluation'!$A$55:$F$345,6,0),IFERROR(VLOOKUP($I254,'Privacy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ht="17" x14ac:dyDescent="0.2">
      <c r="A255" s="241" t="str">
        <f>IFERROR(IF($A254+1&gt;'(backend scoring)'!$T$335,"",$A254+1),"")</f>
        <v/>
      </c>
      <c r="B255" s="241" t="str">
        <f>_xlfn.XLOOKUP($A255,'(backend scoring)'!$V$2:$V$333,'(backend scoring)'!$A$2:$A$333,"")</f>
        <v/>
      </c>
      <c r="C255" s="241" t="str">
        <f>IFERROR(VLOOKUP($B255,'Institution Evaluation'!$A$55:$F$345,2,0),IFERROR(VLOOKUP($B255,'Privacy Analyst Evaluation'!$A$46:$F$120,2,0),""))&amp;""</f>
        <v/>
      </c>
      <c r="D255" s="241" t="str">
        <f>IFERROR(VLOOKUP($B255,'Institution Evaluation'!$A$55:$F$345,3,0),IFERROR(VLOOKUP($B255,'Privacy Analyst Evaluation'!$A$46:$F$120,3,0),""))&amp;""</f>
        <v/>
      </c>
      <c r="E255" s="241" t="str">
        <f>IFERROR(VLOOKUP($B255,'Institution Evaluation'!$A$55:$F$345,4,0),IFERROR(VLOOKUP($B255,'Privacy Analyst Evaluation'!$A$46:$F$120,4,0),""))&amp;""</f>
        <v/>
      </c>
      <c r="F255" s="241" t="str">
        <f>IFERROR(VLOOKUP($B255,'Institution Evaluation'!$A$55:$F$345,6,0),IFERROR(VLOOKUP($B255,'Privacy Analyst Evaluation'!$A$46:$F$120,6,0),""))&amp;""</f>
        <v/>
      </c>
      <c r="G255" s="242"/>
      <c r="H255" s="241" t="str">
        <f>IFERROR(IF($H254+1&gt;'(backend scoring)'!$Q$335,"",$H254+1),"")</f>
        <v/>
      </c>
      <c r="I255" s="241" t="str">
        <f>_xlfn.XLOOKUP($H255,'(backend scoring)'!$S$2:$S$333,'(backend scoring)'!$A$2:$A$333,"")</f>
        <v/>
      </c>
      <c r="J255" s="241" t="str">
        <f>IFERROR(VLOOKUP($I255,'Institution Evaluation'!$A$55:$F$345,2,0),IFERROR(VLOOKUP($I255,'Privacy Analyst Evaluation'!$A$46:$F$120,2,0),""))</f>
        <v/>
      </c>
      <c r="K255" s="241" t="str">
        <f>IFERROR(VLOOKUP($I255,'Institution Evaluation'!$A$55:$F$345,3,0),IFERROR(VLOOKUP($I255,'Privacy Analyst Evaluation'!$A$46:$F$120,3,0),""))&amp;""</f>
        <v/>
      </c>
      <c r="L255" s="241" t="str">
        <f>IFERROR(VLOOKUP($I255,'Institution Evaluation'!$A$55:$F$345,4,0),IFERROR(VLOOKUP($I255,'Privacy Analyst Evaluation'!$A$46:$F$120,4,0),""))&amp;""</f>
        <v/>
      </c>
      <c r="M255" s="241" t="str">
        <f>IFERROR(VLOOKUP($I255,'Institution Evaluation'!$A$55:$F$345,6,0),IFERROR(VLOOKUP($I255,'Privacy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ht="17" x14ac:dyDescent="0.2">
      <c r="A256" s="241" t="str">
        <f>IFERROR(IF($A255+1&gt;'(backend scoring)'!$T$335,"",$A255+1),"")</f>
        <v/>
      </c>
      <c r="B256" s="241" t="str">
        <f>_xlfn.XLOOKUP($A256,'(backend scoring)'!$V$2:$V$333,'(backend scoring)'!$A$2:$A$333,"")</f>
        <v/>
      </c>
      <c r="C256" s="241" t="str">
        <f>IFERROR(VLOOKUP($B256,'Institution Evaluation'!$A$55:$F$345,2,0),IFERROR(VLOOKUP($B256,'Privacy Analyst Evaluation'!$A$46:$F$120,2,0),""))&amp;""</f>
        <v/>
      </c>
      <c r="D256" s="241" t="str">
        <f>IFERROR(VLOOKUP($B256,'Institution Evaluation'!$A$55:$F$345,3,0),IFERROR(VLOOKUP($B256,'Privacy Analyst Evaluation'!$A$46:$F$120,3,0),""))&amp;""</f>
        <v/>
      </c>
      <c r="E256" s="241" t="str">
        <f>IFERROR(VLOOKUP($B256,'Institution Evaluation'!$A$55:$F$345,4,0),IFERROR(VLOOKUP($B256,'Privacy Analyst Evaluation'!$A$46:$F$120,4,0),""))&amp;""</f>
        <v/>
      </c>
      <c r="F256" s="241" t="str">
        <f>IFERROR(VLOOKUP($B256,'Institution Evaluation'!$A$55:$F$345,6,0),IFERROR(VLOOKUP($B256,'Privacy Analyst Evaluation'!$A$46:$F$120,6,0),""))&amp;""</f>
        <v/>
      </c>
      <c r="G256" s="242"/>
      <c r="H256" s="241" t="str">
        <f>IFERROR(IF($H255+1&gt;'(backend scoring)'!$Q$335,"",$H255+1),"")</f>
        <v/>
      </c>
      <c r="I256" s="241" t="str">
        <f>_xlfn.XLOOKUP($H256,'(backend scoring)'!$S$2:$S$333,'(backend scoring)'!$A$2:$A$333,"")</f>
        <v/>
      </c>
      <c r="J256" s="241" t="str">
        <f>IFERROR(VLOOKUP($I256,'Institution Evaluation'!$A$55:$F$345,2,0),IFERROR(VLOOKUP($I256,'Privacy Analyst Evaluation'!$A$46:$F$120,2,0),""))</f>
        <v/>
      </c>
      <c r="K256" s="241" t="str">
        <f>IFERROR(VLOOKUP($I256,'Institution Evaluation'!$A$55:$F$345,3,0),IFERROR(VLOOKUP($I256,'Privacy Analyst Evaluation'!$A$46:$F$120,3,0),""))&amp;""</f>
        <v/>
      </c>
      <c r="L256" s="241" t="str">
        <f>IFERROR(VLOOKUP($I256,'Institution Evaluation'!$A$55:$F$345,4,0),IFERROR(VLOOKUP($I256,'Privacy Analyst Evaluation'!$A$46:$F$120,4,0),""))&amp;""</f>
        <v/>
      </c>
      <c r="M256" s="241" t="str">
        <f>IFERROR(VLOOKUP($I256,'Institution Evaluation'!$A$55:$F$345,6,0),IFERROR(VLOOKUP($I256,'Privacy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ht="17" x14ac:dyDescent="0.2">
      <c r="A257" s="241" t="str">
        <f>IFERROR(IF($A256+1&gt;'(backend scoring)'!$T$335,"",$A256+1),"")</f>
        <v/>
      </c>
      <c r="B257" s="241" t="str">
        <f>_xlfn.XLOOKUP($A257,'(backend scoring)'!$V$2:$V$333,'(backend scoring)'!$A$2:$A$333,"")</f>
        <v/>
      </c>
      <c r="C257" s="241" t="str">
        <f>IFERROR(VLOOKUP($B257,'Institution Evaluation'!$A$55:$F$345,2,0),IFERROR(VLOOKUP($B257,'Privacy Analyst Evaluation'!$A$46:$F$120,2,0),""))&amp;""</f>
        <v/>
      </c>
      <c r="D257" s="241" t="str">
        <f>IFERROR(VLOOKUP($B257,'Institution Evaluation'!$A$55:$F$345,3,0),IFERROR(VLOOKUP($B257,'Privacy Analyst Evaluation'!$A$46:$F$120,3,0),""))&amp;""</f>
        <v/>
      </c>
      <c r="E257" s="241" t="str">
        <f>IFERROR(VLOOKUP($B257,'Institution Evaluation'!$A$55:$F$345,4,0),IFERROR(VLOOKUP($B257,'Privacy Analyst Evaluation'!$A$46:$F$120,4,0),""))&amp;""</f>
        <v/>
      </c>
      <c r="F257" s="241" t="str">
        <f>IFERROR(VLOOKUP($B257,'Institution Evaluation'!$A$55:$F$345,6,0),IFERROR(VLOOKUP($B257,'Privacy Analyst Evaluation'!$A$46:$F$120,6,0),""))&amp;""</f>
        <v/>
      </c>
      <c r="G257" s="242"/>
      <c r="H257" s="241" t="str">
        <f>IFERROR(IF($H256+1&gt;'(backend scoring)'!$Q$335,"",$H256+1),"")</f>
        <v/>
      </c>
      <c r="I257" s="241" t="str">
        <f>_xlfn.XLOOKUP($H257,'(backend scoring)'!$S$2:$S$333,'(backend scoring)'!$A$2:$A$333,"")</f>
        <v/>
      </c>
      <c r="J257" s="241" t="str">
        <f>IFERROR(VLOOKUP($I257,'Institution Evaluation'!$A$55:$F$345,2,0),IFERROR(VLOOKUP($I257,'Privacy Analyst Evaluation'!$A$46:$F$120,2,0),""))</f>
        <v/>
      </c>
      <c r="K257" s="241" t="str">
        <f>IFERROR(VLOOKUP($I257,'Institution Evaluation'!$A$55:$F$345,3,0),IFERROR(VLOOKUP($I257,'Privacy Analyst Evaluation'!$A$46:$F$120,3,0),""))&amp;""</f>
        <v/>
      </c>
      <c r="L257" s="241" t="str">
        <f>IFERROR(VLOOKUP($I257,'Institution Evaluation'!$A$55:$F$345,4,0),IFERROR(VLOOKUP($I257,'Privacy Analyst Evaluation'!$A$46:$F$120,4,0),""))&amp;""</f>
        <v/>
      </c>
      <c r="M257" s="241" t="str">
        <f>IFERROR(VLOOKUP($I257,'Institution Evaluation'!$A$55:$F$345,6,0),IFERROR(VLOOKUP($I257,'Privacy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ht="17" x14ac:dyDescent="0.2">
      <c r="A258" s="241" t="str">
        <f>IFERROR(IF($A257+1&gt;'(backend scoring)'!$T$335,"",$A257+1),"")</f>
        <v/>
      </c>
      <c r="B258" s="241" t="str">
        <f>_xlfn.XLOOKUP($A258,'(backend scoring)'!$V$2:$V$333,'(backend scoring)'!$A$2:$A$333,"")</f>
        <v/>
      </c>
      <c r="C258" s="241" t="str">
        <f>IFERROR(VLOOKUP($B258,'Institution Evaluation'!$A$55:$F$345,2,0),IFERROR(VLOOKUP($B258,'Privacy Analyst Evaluation'!$A$46:$F$120,2,0),""))&amp;""</f>
        <v/>
      </c>
      <c r="D258" s="241" t="str">
        <f>IFERROR(VLOOKUP($B258,'Institution Evaluation'!$A$55:$F$345,3,0),IFERROR(VLOOKUP($B258,'Privacy Analyst Evaluation'!$A$46:$F$120,3,0),""))&amp;""</f>
        <v/>
      </c>
      <c r="E258" s="241" t="str">
        <f>IFERROR(VLOOKUP($B258,'Institution Evaluation'!$A$55:$F$345,4,0),IFERROR(VLOOKUP($B258,'Privacy Analyst Evaluation'!$A$46:$F$120,4,0),""))&amp;""</f>
        <v/>
      </c>
      <c r="F258" s="241" t="str">
        <f>IFERROR(VLOOKUP($B258,'Institution Evaluation'!$A$55:$F$345,6,0),IFERROR(VLOOKUP($B258,'Privacy Analyst Evaluation'!$A$46:$F$120,6,0),""))&amp;""</f>
        <v/>
      </c>
      <c r="G258" s="242"/>
      <c r="H258" s="241" t="str">
        <f>IFERROR(IF($H257+1&gt;'(backend scoring)'!$Q$335,"",$H257+1),"")</f>
        <v/>
      </c>
      <c r="I258" s="241" t="str">
        <f>_xlfn.XLOOKUP($H258,'(backend scoring)'!$S$2:$S$333,'(backend scoring)'!$A$2:$A$333,"")</f>
        <v/>
      </c>
      <c r="J258" s="241" t="str">
        <f>IFERROR(VLOOKUP($I258,'Institution Evaluation'!$A$55:$F$345,2,0),IFERROR(VLOOKUP($I258,'Privacy Analyst Evaluation'!$A$46:$F$120,2,0),""))</f>
        <v/>
      </c>
      <c r="K258" s="241" t="str">
        <f>IFERROR(VLOOKUP($I258,'Institution Evaluation'!$A$55:$F$345,3,0),IFERROR(VLOOKUP($I258,'Privacy Analyst Evaluation'!$A$46:$F$120,3,0),""))&amp;""</f>
        <v/>
      </c>
      <c r="L258" s="241" t="str">
        <f>IFERROR(VLOOKUP($I258,'Institution Evaluation'!$A$55:$F$345,4,0),IFERROR(VLOOKUP($I258,'Privacy Analyst Evaluation'!$A$46:$F$120,4,0),""))&amp;""</f>
        <v/>
      </c>
      <c r="M258" s="241" t="str">
        <f>IFERROR(VLOOKUP($I258,'Institution Evaluation'!$A$55:$F$345,6,0),IFERROR(VLOOKUP($I258,'Privacy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ht="17" x14ac:dyDescent="0.2">
      <c r="A259" s="241" t="str">
        <f>IFERROR(IF($A258+1&gt;'(backend scoring)'!$T$335,"",$A258+1),"")</f>
        <v/>
      </c>
      <c r="B259" s="241" t="str">
        <f>_xlfn.XLOOKUP($A259,'(backend scoring)'!$V$2:$V$333,'(backend scoring)'!$A$2:$A$333,"")</f>
        <v/>
      </c>
      <c r="C259" s="241" t="str">
        <f>IFERROR(VLOOKUP($B259,'Institution Evaluation'!$A$55:$F$345,2,0),IFERROR(VLOOKUP($B259,'Privacy Analyst Evaluation'!$A$46:$F$120,2,0),""))&amp;""</f>
        <v/>
      </c>
      <c r="D259" s="241" t="str">
        <f>IFERROR(VLOOKUP($B259,'Institution Evaluation'!$A$55:$F$345,3,0),IFERROR(VLOOKUP($B259,'Privacy Analyst Evaluation'!$A$46:$F$120,3,0),""))&amp;""</f>
        <v/>
      </c>
      <c r="E259" s="241" t="str">
        <f>IFERROR(VLOOKUP($B259,'Institution Evaluation'!$A$55:$F$345,4,0),IFERROR(VLOOKUP($B259,'Privacy Analyst Evaluation'!$A$46:$F$120,4,0),""))&amp;""</f>
        <v/>
      </c>
      <c r="F259" s="241" t="str">
        <f>IFERROR(VLOOKUP($B259,'Institution Evaluation'!$A$55:$F$345,6,0),IFERROR(VLOOKUP($B259,'Privacy Analyst Evaluation'!$A$46:$F$120,6,0),""))&amp;""</f>
        <v/>
      </c>
      <c r="G259" s="242"/>
      <c r="H259" s="241" t="str">
        <f>IFERROR(IF($H258+1&gt;'(backend scoring)'!$Q$335,"",$H258+1),"")</f>
        <v/>
      </c>
      <c r="I259" s="241" t="str">
        <f>_xlfn.XLOOKUP($H259,'(backend scoring)'!$S$2:$S$333,'(backend scoring)'!$A$2:$A$333,"")</f>
        <v/>
      </c>
      <c r="J259" s="241" t="str">
        <f>IFERROR(VLOOKUP($I259,'Institution Evaluation'!$A$55:$F$345,2,0),IFERROR(VLOOKUP($I259,'Privacy Analyst Evaluation'!$A$46:$F$120,2,0),""))</f>
        <v/>
      </c>
      <c r="K259" s="241" t="str">
        <f>IFERROR(VLOOKUP($I259,'Institution Evaluation'!$A$55:$F$345,3,0),IFERROR(VLOOKUP($I259,'Privacy Analyst Evaluation'!$A$46:$F$120,3,0),""))&amp;""</f>
        <v/>
      </c>
      <c r="L259" s="241" t="str">
        <f>IFERROR(VLOOKUP($I259,'Institution Evaluation'!$A$55:$F$345,4,0),IFERROR(VLOOKUP($I259,'Privacy Analyst Evaluation'!$A$46:$F$120,4,0),""))&amp;""</f>
        <v/>
      </c>
      <c r="M259" s="241" t="str">
        <f>IFERROR(VLOOKUP($I259,'Institution Evaluation'!$A$55:$F$345,6,0),IFERROR(VLOOKUP($I259,'Privacy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ht="17" x14ac:dyDescent="0.2">
      <c r="A260" s="241" t="str">
        <f>IFERROR(IF($A259+1&gt;'(backend scoring)'!$T$335,"",$A259+1),"")</f>
        <v/>
      </c>
      <c r="B260" s="241" t="str">
        <f>_xlfn.XLOOKUP($A260,'(backend scoring)'!$V$2:$V$333,'(backend scoring)'!$A$2:$A$333,"")</f>
        <v/>
      </c>
      <c r="C260" s="241" t="str">
        <f>IFERROR(VLOOKUP($B260,'Institution Evaluation'!$A$55:$F$345,2,0),IFERROR(VLOOKUP($B260,'Privacy Analyst Evaluation'!$A$46:$F$120,2,0),""))&amp;""</f>
        <v/>
      </c>
      <c r="D260" s="241" t="str">
        <f>IFERROR(VLOOKUP($B260,'Institution Evaluation'!$A$55:$F$345,3,0),IFERROR(VLOOKUP($B260,'Privacy Analyst Evaluation'!$A$46:$F$120,3,0),""))&amp;""</f>
        <v/>
      </c>
      <c r="E260" s="241" t="str">
        <f>IFERROR(VLOOKUP($B260,'Institution Evaluation'!$A$55:$F$345,4,0),IFERROR(VLOOKUP($B260,'Privacy Analyst Evaluation'!$A$46:$F$120,4,0),""))&amp;""</f>
        <v/>
      </c>
      <c r="F260" s="241" t="str">
        <f>IFERROR(VLOOKUP($B260,'Institution Evaluation'!$A$55:$F$345,6,0),IFERROR(VLOOKUP($B260,'Privacy Analyst Evaluation'!$A$46:$F$120,6,0),""))&amp;""</f>
        <v/>
      </c>
      <c r="G260" s="242"/>
      <c r="H260" s="241" t="str">
        <f>IFERROR(IF($H259+1&gt;'(backend scoring)'!$Q$335,"",$H259+1),"")</f>
        <v/>
      </c>
      <c r="I260" s="241" t="str">
        <f>_xlfn.XLOOKUP($H260,'(backend scoring)'!$S$2:$S$333,'(backend scoring)'!$A$2:$A$333,"")</f>
        <v/>
      </c>
      <c r="J260" s="241" t="str">
        <f>IFERROR(VLOOKUP($I260,'Institution Evaluation'!$A$55:$F$345,2,0),IFERROR(VLOOKUP($I260,'Privacy Analyst Evaluation'!$A$46:$F$120,2,0),""))</f>
        <v/>
      </c>
      <c r="K260" s="241" t="str">
        <f>IFERROR(VLOOKUP($I260,'Institution Evaluation'!$A$55:$F$345,3,0),IFERROR(VLOOKUP($I260,'Privacy Analyst Evaluation'!$A$46:$F$120,3,0),""))&amp;""</f>
        <v/>
      </c>
      <c r="L260" s="241" t="str">
        <f>IFERROR(VLOOKUP($I260,'Institution Evaluation'!$A$55:$F$345,4,0),IFERROR(VLOOKUP($I260,'Privacy Analyst Evaluation'!$A$46:$F$120,4,0),""))&amp;""</f>
        <v/>
      </c>
      <c r="M260" s="241" t="str">
        <f>IFERROR(VLOOKUP($I260,'Institution Evaluation'!$A$55:$F$345,6,0),IFERROR(VLOOKUP($I260,'Privacy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ht="17" x14ac:dyDescent="0.2">
      <c r="A261" s="241" t="str">
        <f>IFERROR(IF($A260+1&gt;'(backend scoring)'!$T$335,"",$A260+1),"")</f>
        <v/>
      </c>
      <c r="B261" s="241" t="str">
        <f>_xlfn.XLOOKUP($A261,'(backend scoring)'!$V$2:$V$333,'(backend scoring)'!$A$2:$A$333,"")</f>
        <v/>
      </c>
      <c r="C261" s="241" t="str">
        <f>IFERROR(VLOOKUP($B261,'Institution Evaluation'!$A$55:$F$345,2,0),IFERROR(VLOOKUP($B261,'Privacy Analyst Evaluation'!$A$46:$F$120,2,0),""))&amp;""</f>
        <v/>
      </c>
      <c r="D261" s="241" t="str">
        <f>IFERROR(VLOOKUP($B261,'Institution Evaluation'!$A$55:$F$345,3,0),IFERROR(VLOOKUP($B261,'Privacy Analyst Evaluation'!$A$46:$F$120,3,0),""))&amp;""</f>
        <v/>
      </c>
      <c r="E261" s="241" t="str">
        <f>IFERROR(VLOOKUP($B261,'Institution Evaluation'!$A$55:$F$345,4,0),IFERROR(VLOOKUP($B261,'Privacy Analyst Evaluation'!$A$46:$F$120,4,0),""))&amp;""</f>
        <v/>
      </c>
      <c r="F261" s="241" t="str">
        <f>IFERROR(VLOOKUP($B261,'Institution Evaluation'!$A$55:$F$345,6,0),IFERROR(VLOOKUP($B261,'Privacy Analyst Evaluation'!$A$46:$F$120,6,0),""))&amp;""</f>
        <v/>
      </c>
      <c r="G261" s="242"/>
      <c r="H261" s="241" t="str">
        <f>IFERROR(IF($H260+1&gt;'(backend scoring)'!$Q$335,"",$H260+1),"")</f>
        <v/>
      </c>
      <c r="I261" s="241" t="str">
        <f>_xlfn.XLOOKUP($H261,'(backend scoring)'!$S$2:$S$333,'(backend scoring)'!$A$2:$A$333,"")</f>
        <v/>
      </c>
      <c r="J261" s="241" t="str">
        <f>IFERROR(VLOOKUP($I261,'Institution Evaluation'!$A$55:$F$345,2,0),IFERROR(VLOOKUP($I261,'Privacy Analyst Evaluation'!$A$46:$F$120,2,0),""))</f>
        <v/>
      </c>
      <c r="K261" s="241" t="str">
        <f>IFERROR(VLOOKUP($I261,'Institution Evaluation'!$A$55:$F$345,3,0),IFERROR(VLOOKUP($I261,'Privacy Analyst Evaluation'!$A$46:$F$120,3,0),""))&amp;""</f>
        <v/>
      </c>
      <c r="L261" s="241" t="str">
        <f>IFERROR(VLOOKUP($I261,'Institution Evaluation'!$A$55:$F$345,4,0),IFERROR(VLOOKUP($I261,'Privacy Analyst Evaluation'!$A$46:$F$120,4,0),""))&amp;""</f>
        <v/>
      </c>
      <c r="M261" s="241" t="str">
        <f>IFERROR(VLOOKUP($I261,'Institution Evaluation'!$A$55:$F$345,6,0),IFERROR(VLOOKUP($I261,'Privacy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ht="17" x14ac:dyDescent="0.2">
      <c r="A262" s="241" t="str">
        <f>IFERROR(IF($A261+1&gt;'(backend scoring)'!$T$335,"",$A261+1),"")</f>
        <v/>
      </c>
      <c r="B262" s="241" t="str">
        <f>_xlfn.XLOOKUP($A262,'(backend scoring)'!$V$2:$V$333,'(backend scoring)'!$A$2:$A$333,"")</f>
        <v/>
      </c>
      <c r="C262" s="241" t="str">
        <f>IFERROR(VLOOKUP($B262,'Institution Evaluation'!$A$55:$F$345,2,0),IFERROR(VLOOKUP($B262,'Privacy Analyst Evaluation'!$A$46:$F$120,2,0),""))&amp;""</f>
        <v/>
      </c>
      <c r="D262" s="241" t="str">
        <f>IFERROR(VLOOKUP($B262,'Institution Evaluation'!$A$55:$F$345,3,0),IFERROR(VLOOKUP($B262,'Privacy Analyst Evaluation'!$A$46:$F$120,3,0),""))&amp;""</f>
        <v/>
      </c>
      <c r="E262" s="241" t="str">
        <f>IFERROR(VLOOKUP($B262,'Institution Evaluation'!$A$55:$F$345,4,0),IFERROR(VLOOKUP($B262,'Privacy Analyst Evaluation'!$A$46:$F$120,4,0),""))&amp;""</f>
        <v/>
      </c>
      <c r="F262" s="241" t="str">
        <f>IFERROR(VLOOKUP($B262,'Institution Evaluation'!$A$55:$F$345,6,0),IFERROR(VLOOKUP($B262,'Privacy Analyst Evaluation'!$A$46:$F$120,6,0),""))&amp;""</f>
        <v/>
      </c>
      <c r="G262" s="242"/>
      <c r="H262" s="241" t="str">
        <f>IFERROR(IF($H261+1&gt;'(backend scoring)'!$Q$335,"",$H261+1),"")</f>
        <v/>
      </c>
      <c r="I262" s="241" t="str">
        <f>_xlfn.XLOOKUP($H262,'(backend scoring)'!$S$2:$S$333,'(backend scoring)'!$A$2:$A$333,"")</f>
        <v/>
      </c>
      <c r="J262" s="241" t="str">
        <f>IFERROR(VLOOKUP($I262,'Institution Evaluation'!$A$55:$F$345,2,0),IFERROR(VLOOKUP($I262,'Privacy Analyst Evaluation'!$A$46:$F$120,2,0),""))</f>
        <v/>
      </c>
      <c r="K262" s="241" t="str">
        <f>IFERROR(VLOOKUP($I262,'Institution Evaluation'!$A$55:$F$345,3,0),IFERROR(VLOOKUP($I262,'Privacy Analyst Evaluation'!$A$46:$F$120,3,0),""))&amp;""</f>
        <v/>
      </c>
      <c r="L262" s="241" t="str">
        <f>IFERROR(VLOOKUP($I262,'Institution Evaluation'!$A$55:$F$345,4,0),IFERROR(VLOOKUP($I262,'Privacy Analyst Evaluation'!$A$46:$F$120,4,0),""))&amp;""</f>
        <v/>
      </c>
      <c r="M262" s="241" t="str">
        <f>IFERROR(VLOOKUP($I262,'Institution Evaluation'!$A$55:$F$345,6,0),IFERROR(VLOOKUP($I262,'Privacy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ht="17" x14ac:dyDescent="0.2">
      <c r="A263" s="241" t="str">
        <f>IFERROR(IF($A262+1&gt;'(backend scoring)'!$T$335,"",$A262+1),"")</f>
        <v/>
      </c>
      <c r="B263" s="241" t="str">
        <f>_xlfn.XLOOKUP($A263,'(backend scoring)'!$V$2:$V$333,'(backend scoring)'!$A$2:$A$333,"")</f>
        <v/>
      </c>
      <c r="C263" s="241" t="str">
        <f>IFERROR(VLOOKUP($B263,'Institution Evaluation'!$A$55:$F$345,2,0),IFERROR(VLOOKUP($B263,'Privacy Analyst Evaluation'!$A$46:$F$120,2,0),""))&amp;""</f>
        <v/>
      </c>
      <c r="D263" s="241" t="str">
        <f>IFERROR(VLOOKUP($B263,'Institution Evaluation'!$A$55:$F$345,3,0),IFERROR(VLOOKUP($B263,'Privacy Analyst Evaluation'!$A$46:$F$120,3,0),""))&amp;""</f>
        <v/>
      </c>
      <c r="E263" s="241" t="str">
        <f>IFERROR(VLOOKUP($B263,'Institution Evaluation'!$A$55:$F$345,4,0),IFERROR(VLOOKUP($B263,'Privacy Analyst Evaluation'!$A$46:$F$120,4,0),""))&amp;""</f>
        <v/>
      </c>
      <c r="F263" s="241" t="str">
        <f>IFERROR(VLOOKUP($B263,'Institution Evaluation'!$A$55:$F$345,6,0),IFERROR(VLOOKUP($B263,'Privacy Analyst Evaluation'!$A$46:$F$120,6,0),""))&amp;""</f>
        <v/>
      </c>
      <c r="G263" s="242"/>
      <c r="H263" s="241" t="str">
        <f>IFERROR(IF($H262+1&gt;'(backend scoring)'!$Q$335,"",$H262+1),"")</f>
        <v/>
      </c>
      <c r="I263" s="241" t="str">
        <f>_xlfn.XLOOKUP($H263,'(backend scoring)'!$S$2:$S$333,'(backend scoring)'!$A$2:$A$333,"")</f>
        <v/>
      </c>
      <c r="J263" s="241" t="str">
        <f>IFERROR(VLOOKUP($I263,'Institution Evaluation'!$A$55:$F$345,2,0),IFERROR(VLOOKUP($I263,'Privacy Analyst Evaluation'!$A$46:$F$120,2,0),""))</f>
        <v/>
      </c>
      <c r="K263" s="241" t="str">
        <f>IFERROR(VLOOKUP($I263,'Institution Evaluation'!$A$55:$F$345,3,0),IFERROR(VLOOKUP($I263,'Privacy Analyst Evaluation'!$A$46:$F$120,3,0),""))&amp;""</f>
        <v/>
      </c>
      <c r="L263" s="241" t="str">
        <f>IFERROR(VLOOKUP($I263,'Institution Evaluation'!$A$55:$F$345,4,0),IFERROR(VLOOKUP($I263,'Privacy Analyst Evaluation'!$A$46:$F$120,4,0),""))&amp;""</f>
        <v/>
      </c>
      <c r="M263" s="241" t="str">
        <f>IFERROR(VLOOKUP($I263,'Institution Evaluation'!$A$55:$F$345,6,0),IFERROR(VLOOKUP($I263,'Privacy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ht="17" x14ac:dyDescent="0.2">
      <c r="A264" s="241" t="str">
        <f>IFERROR(IF($A263+1&gt;'(backend scoring)'!$T$335,"",$A263+1),"")</f>
        <v/>
      </c>
      <c r="B264" s="241" t="str">
        <f>_xlfn.XLOOKUP($A264,'(backend scoring)'!$V$2:$V$333,'(backend scoring)'!$A$2:$A$333,"")</f>
        <v/>
      </c>
      <c r="C264" s="241" t="str">
        <f>IFERROR(VLOOKUP($B264,'Institution Evaluation'!$A$55:$F$345,2,0),IFERROR(VLOOKUP($B264,'Privacy Analyst Evaluation'!$A$46:$F$120,2,0),""))&amp;""</f>
        <v/>
      </c>
      <c r="D264" s="241" t="str">
        <f>IFERROR(VLOOKUP($B264,'Institution Evaluation'!$A$55:$F$345,3,0),IFERROR(VLOOKUP($B264,'Privacy Analyst Evaluation'!$A$46:$F$120,3,0),""))&amp;""</f>
        <v/>
      </c>
      <c r="E264" s="241" t="str">
        <f>IFERROR(VLOOKUP($B264,'Institution Evaluation'!$A$55:$F$345,4,0),IFERROR(VLOOKUP($B264,'Privacy Analyst Evaluation'!$A$46:$F$120,4,0),""))&amp;""</f>
        <v/>
      </c>
      <c r="F264" s="241" t="str">
        <f>IFERROR(VLOOKUP($B264,'Institution Evaluation'!$A$55:$F$345,6,0),IFERROR(VLOOKUP($B264,'Privacy Analyst Evaluation'!$A$46:$F$120,6,0),""))&amp;""</f>
        <v/>
      </c>
      <c r="G264" s="242"/>
      <c r="H264" s="241" t="str">
        <f>IFERROR(IF($H263+1&gt;'(backend scoring)'!$Q$335,"",$H263+1),"")</f>
        <v/>
      </c>
      <c r="I264" s="241" t="str">
        <f>_xlfn.XLOOKUP($H264,'(backend scoring)'!$S$2:$S$333,'(backend scoring)'!$A$2:$A$333,"")</f>
        <v/>
      </c>
      <c r="J264" s="241" t="str">
        <f>IFERROR(VLOOKUP($I264,'Institution Evaluation'!$A$55:$F$345,2,0),IFERROR(VLOOKUP($I264,'Privacy Analyst Evaluation'!$A$46:$F$120,2,0),""))</f>
        <v/>
      </c>
      <c r="K264" s="241" t="str">
        <f>IFERROR(VLOOKUP($I264,'Institution Evaluation'!$A$55:$F$345,3,0),IFERROR(VLOOKUP($I264,'Privacy Analyst Evaluation'!$A$46:$F$120,3,0),""))&amp;""</f>
        <v/>
      </c>
      <c r="L264" s="241" t="str">
        <f>IFERROR(VLOOKUP($I264,'Institution Evaluation'!$A$55:$F$345,4,0),IFERROR(VLOOKUP($I264,'Privacy Analyst Evaluation'!$A$46:$F$120,4,0),""))&amp;""</f>
        <v/>
      </c>
      <c r="M264" s="241" t="str">
        <f>IFERROR(VLOOKUP($I264,'Institution Evaluation'!$A$55:$F$345,6,0),IFERROR(VLOOKUP($I264,'Privacy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ht="17" x14ac:dyDescent="0.2">
      <c r="A265" s="241" t="str">
        <f>IFERROR(IF($A264+1&gt;'(backend scoring)'!$T$335,"",$A264+1),"")</f>
        <v/>
      </c>
      <c r="B265" s="241" t="str">
        <f>_xlfn.XLOOKUP($A265,'(backend scoring)'!$V$2:$V$333,'(backend scoring)'!$A$2:$A$333,"")</f>
        <v/>
      </c>
      <c r="C265" s="241" t="str">
        <f>IFERROR(VLOOKUP($B265,'Institution Evaluation'!$A$55:$F$345,2,0),IFERROR(VLOOKUP($B265,'Privacy Analyst Evaluation'!$A$46:$F$120,2,0),""))&amp;""</f>
        <v/>
      </c>
      <c r="D265" s="241" t="str">
        <f>IFERROR(VLOOKUP($B265,'Institution Evaluation'!$A$55:$F$345,3,0),IFERROR(VLOOKUP($B265,'Privacy Analyst Evaluation'!$A$46:$F$120,3,0),""))&amp;""</f>
        <v/>
      </c>
      <c r="E265" s="241" t="str">
        <f>IFERROR(VLOOKUP($B265,'Institution Evaluation'!$A$55:$F$345,4,0),IFERROR(VLOOKUP($B265,'Privacy Analyst Evaluation'!$A$46:$F$120,4,0),""))&amp;""</f>
        <v/>
      </c>
      <c r="F265" s="241" t="str">
        <f>IFERROR(VLOOKUP($B265,'Institution Evaluation'!$A$55:$F$345,6,0),IFERROR(VLOOKUP($B265,'Privacy Analyst Evaluation'!$A$46:$F$120,6,0),""))&amp;""</f>
        <v/>
      </c>
      <c r="G265" s="242"/>
      <c r="H265" s="241" t="str">
        <f>IFERROR(IF($H264+1&gt;'(backend scoring)'!$Q$335,"",$H264+1),"")</f>
        <v/>
      </c>
      <c r="I265" s="241" t="str">
        <f>_xlfn.XLOOKUP($H265,'(backend scoring)'!$S$2:$S$333,'(backend scoring)'!$A$2:$A$333,"")</f>
        <v/>
      </c>
      <c r="J265" s="241" t="str">
        <f>IFERROR(VLOOKUP($I265,'Institution Evaluation'!$A$55:$F$345,2,0),IFERROR(VLOOKUP($I265,'Privacy Analyst Evaluation'!$A$46:$F$120,2,0),""))</f>
        <v/>
      </c>
      <c r="K265" s="241" t="str">
        <f>IFERROR(VLOOKUP($I265,'Institution Evaluation'!$A$55:$F$345,3,0),IFERROR(VLOOKUP($I265,'Privacy Analyst Evaluation'!$A$46:$F$120,3,0),""))&amp;""</f>
        <v/>
      </c>
      <c r="L265" s="241" t="str">
        <f>IFERROR(VLOOKUP($I265,'Institution Evaluation'!$A$55:$F$345,4,0),IFERROR(VLOOKUP($I265,'Privacy Analyst Evaluation'!$A$46:$F$120,4,0),""))&amp;""</f>
        <v/>
      </c>
      <c r="M265" s="241" t="str">
        <f>IFERROR(VLOOKUP($I265,'Institution Evaluation'!$A$55:$F$345,6,0),IFERROR(VLOOKUP($I265,'Privacy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ht="17" x14ac:dyDescent="0.2">
      <c r="A266" s="241" t="str">
        <f>IFERROR(IF($A265+1&gt;'(backend scoring)'!$T$335,"",$A265+1),"")</f>
        <v/>
      </c>
      <c r="B266" s="241" t="str">
        <f>_xlfn.XLOOKUP($A266,'(backend scoring)'!$V$2:$V$333,'(backend scoring)'!$A$2:$A$333,"")</f>
        <v/>
      </c>
      <c r="C266" s="241" t="str">
        <f>IFERROR(VLOOKUP($B266,'Institution Evaluation'!$A$55:$F$345,2,0),IFERROR(VLOOKUP($B266,'Privacy Analyst Evaluation'!$A$46:$F$120,2,0),""))&amp;""</f>
        <v/>
      </c>
      <c r="D266" s="241" t="str">
        <f>IFERROR(VLOOKUP($B266,'Institution Evaluation'!$A$55:$F$345,3,0),IFERROR(VLOOKUP($B266,'Privacy Analyst Evaluation'!$A$46:$F$120,3,0),""))&amp;""</f>
        <v/>
      </c>
      <c r="E266" s="241" t="str">
        <f>IFERROR(VLOOKUP($B266,'Institution Evaluation'!$A$55:$F$345,4,0),IFERROR(VLOOKUP($B266,'Privacy Analyst Evaluation'!$A$46:$F$120,4,0),""))&amp;""</f>
        <v/>
      </c>
      <c r="F266" s="241" t="str">
        <f>IFERROR(VLOOKUP($B266,'Institution Evaluation'!$A$55:$F$345,6,0),IFERROR(VLOOKUP($B266,'Privacy Analyst Evaluation'!$A$46:$F$120,6,0),""))&amp;""</f>
        <v/>
      </c>
      <c r="G266" s="242"/>
      <c r="H266" s="241" t="str">
        <f>IFERROR(IF($H265+1&gt;'(backend scoring)'!$Q$335,"",$H265+1),"")</f>
        <v/>
      </c>
      <c r="I266" s="241" t="str">
        <f>_xlfn.XLOOKUP($H266,'(backend scoring)'!$S$2:$S$333,'(backend scoring)'!$A$2:$A$333,"")</f>
        <v/>
      </c>
      <c r="J266" s="241" t="str">
        <f>IFERROR(VLOOKUP($I266,'Institution Evaluation'!$A$55:$F$345,2,0),IFERROR(VLOOKUP($I266,'Privacy Analyst Evaluation'!$A$46:$F$120,2,0),""))</f>
        <v/>
      </c>
      <c r="K266" s="241" t="str">
        <f>IFERROR(VLOOKUP($I266,'Institution Evaluation'!$A$55:$F$345,3,0),IFERROR(VLOOKUP($I266,'Privacy Analyst Evaluation'!$A$46:$F$120,3,0),""))&amp;""</f>
        <v/>
      </c>
      <c r="L266" s="241" t="str">
        <f>IFERROR(VLOOKUP($I266,'Institution Evaluation'!$A$55:$F$345,4,0),IFERROR(VLOOKUP($I266,'Privacy Analyst Evaluation'!$A$46:$F$120,4,0),""))&amp;""</f>
        <v/>
      </c>
      <c r="M266" s="241" t="str">
        <f>IFERROR(VLOOKUP($I266,'Institution Evaluation'!$A$55:$F$345,6,0),IFERROR(VLOOKUP($I266,'Privacy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ht="17" x14ac:dyDescent="0.2">
      <c r="A267" s="241" t="str">
        <f>IFERROR(IF($A266+1&gt;'(backend scoring)'!$T$335,"",$A266+1),"")</f>
        <v/>
      </c>
      <c r="B267" s="241" t="str">
        <f>_xlfn.XLOOKUP($A267,'(backend scoring)'!$V$2:$V$333,'(backend scoring)'!$A$2:$A$333,"")</f>
        <v/>
      </c>
      <c r="C267" s="241" t="str">
        <f>IFERROR(VLOOKUP($B267,'Institution Evaluation'!$A$55:$F$345,2,0),IFERROR(VLOOKUP($B267,'Privacy Analyst Evaluation'!$A$46:$F$120,2,0),""))&amp;""</f>
        <v/>
      </c>
      <c r="D267" s="241" t="str">
        <f>IFERROR(VLOOKUP($B267,'Institution Evaluation'!$A$55:$F$345,3,0),IFERROR(VLOOKUP($B267,'Privacy Analyst Evaluation'!$A$46:$F$120,3,0),""))&amp;""</f>
        <v/>
      </c>
      <c r="E267" s="241" t="str">
        <f>IFERROR(VLOOKUP($B267,'Institution Evaluation'!$A$55:$F$345,4,0),IFERROR(VLOOKUP($B267,'Privacy Analyst Evaluation'!$A$46:$F$120,4,0),""))&amp;""</f>
        <v/>
      </c>
      <c r="F267" s="241" t="str">
        <f>IFERROR(VLOOKUP($B267,'Institution Evaluation'!$A$55:$F$345,6,0),IFERROR(VLOOKUP($B267,'Privacy Analyst Evaluation'!$A$46:$F$120,6,0),""))&amp;""</f>
        <v/>
      </c>
      <c r="G267" s="242"/>
      <c r="H267" s="241" t="str">
        <f>IFERROR(IF($H266+1&gt;'(backend scoring)'!$Q$335,"",$H266+1),"")</f>
        <v/>
      </c>
      <c r="I267" s="241" t="str">
        <f>_xlfn.XLOOKUP($H267,'(backend scoring)'!$S$2:$S$333,'(backend scoring)'!$A$2:$A$333,"")</f>
        <v/>
      </c>
      <c r="J267" s="241" t="str">
        <f>IFERROR(VLOOKUP($I267,'Institution Evaluation'!$A$55:$F$345,2,0),IFERROR(VLOOKUP($I267,'Privacy Analyst Evaluation'!$A$46:$F$120,2,0),""))</f>
        <v/>
      </c>
      <c r="K267" s="241" t="str">
        <f>IFERROR(VLOOKUP($I267,'Institution Evaluation'!$A$55:$F$345,3,0),IFERROR(VLOOKUP($I267,'Privacy Analyst Evaluation'!$A$46:$F$120,3,0),""))&amp;""</f>
        <v/>
      </c>
      <c r="L267" s="241" t="str">
        <f>IFERROR(VLOOKUP($I267,'Institution Evaluation'!$A$55:$F$345,4,0),IFERROR(VLOOKUP($I267,'Privacy Analyst Evaluation'!$A$46:$F$120,4,0),""))&amp;""</f>
        <v/>
      </c>
      <c r="M267" s="241" t="str">
        <f>IFERROR(VLOOKUP($I267,'Institution Evaluation'!$A$55:$F$345,6,0),IFERROR(VLOOKUP($I267,'Privacy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ht="17" x14ac:dyDescent="0.2">
      <c r="A268" s="241" t="str">
        <f>IFERROR(IF($A267+1&gt;'(backend scoring)'!$T$335,"",$A267+1),"")</f>
        <v/>
      </c>
      <c r="B268" s="241" t="str">
        <f>_xlfn.XLOOKUP($A268,'(backend scoring)'!$V$2:$V$333,'(backend scoring)'!$A$2:$A$333,"")</f>
        <v/>
      </c>
      <c r="C268" s="241" t="str">
        <f>IFERROR(VLOOKUP($B268,'Institution Evaluation'!$A$55:$F$345,2,0),IFERROR(VLOOKUP($B268,'Privacy Analyst Evaluation'!$A$46:$F$120,2,0),""))&amp;""</f>
        <v/>
      </c>
      <c r="D268" s="241" t="str">
        <f>IFERROR(VLOOKUP($B268,'Institution Evaluation'!$A$55:$F$345,3,0),IFERROR(VLOOKUP($B268,'Privacy Analyst Evaluation'!$A$46:$F$120,3,0),""))&amp;""</f>
        <v/>
      </c>
      <c r="E268" s="241" t="str">
        <f>IFERROR(VLOOKUP($B268,'Institution Evaluation'!$A$55:$F$345,4,0),IFERROR(VLOOKUP($B268,'Privacy Analyst Evaluation'!$A$46:$F$120,4,0),""))&amp;""</f>
        <v/>
      </c>
      <c r="F268" s="241" t="str">
        <f>IFERROR(VLOOKUP($B268,'Institution Evaluation'!$A$55:$F$345,6,0),IFERROR(VLOOKUP($B268,'Privacy Analyst Evaluation'!$A$46:$F$120,6,0),""))&amp;""</f>
        <v/>
      </c>
      <c r="G268" s="242"/>
      <c r="H268" s="241" t="str">
        <f>IFERROR(IF($H267+1&gt;'(backend scoring)'!$Q$335,"",$H267+1),"")</f>
        <v/>
      </c>
      <c r="I268" s="241" t="str">
        <f>_xlfn.XLOOKUP($H268,'(backend scoring)'!$S$2:$S$333,'(backend scoring)'!$A$2:$A$333,"")</f>
        <v/>
      </c>
      <c r="J268" s="241" t="str">
        <f>IFERROR(VLOOKUP($I268,'Institution Evaluation'!$A$55:$F$345,2,0),IFERROR(VLOOKUP($I268,'Privacy Analyst Evaluation'!$A$46:$F$120,2,0),""))</f>
        <v/>
      </c>
      <c r="K268" s="241" t="str">
        <f>IFERROR(VLOOKUP($I268,'Institution Evaluation'!$A$55:$F$345,3,0),IFERROR(VLOOKUP($I268,'Privacy Analyst Evaluation'!$A$46:$F$120,3,0),""))&amp;""</f>
        <v/>
      </c>
      <c r="L268" s="241" t="str">
        <f>IFERROR(VLOOKUP($I268,'Institution Evaluation'!$A$55:$F$345,4,0),IFERROR(VLOOKUP($I268,'Privacy Analyst Evaluation'!$A$46:$F$120,4,0),""))&amp;""</f>
        <v/>
      </c>
      <c r="M268" s="241" t="str">
        <f>IFERROR(VLOOKUP($I268,'Institution Evaluation'!$A$55:$F$345,6,0),IFERROR(VLOOKUP($I268,'Privacy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ht="17" x14ac:dyDescent="0.2">
      <c r="A269" s="241" t="str">
        <f>IFERROR(IF($A268+1&gt;'(backend scoring)'!$T$335,"",$A268+1),"")</f>
        <v/>
      </c>
      <c r="B269" s="241" t="str">
        <f>_xlfn.XLOOKUP($A269,'(backend scoring)'!$V$2:$V$333,'(backend scoring)'!$A$2:$A$333,"")</f>
        <v/>
      </c>
      <c r="C269" s="241" t="str">
        <f>IFERROR(VLOOKUP($B269,'Institution Evaluation'!$A$55:$F$345,2,0),IFERROR(VLOOKUP($B269,'Privacy Analyst Evaluation'!$A$46:$F$120,2,0),""))&amp;""</f>
        <v/>
      </c>
      <c r="D269" s="241" t="str">
        <f>IFERROR(VLOOKUP($B269,'Institution Evaluation'!$A$55:$F$345,3,0),IFERROR(VLOOKUP($B269,'Privacy Analyst Evaluation'!$A$46:$F$120,3,0),""))&amp;""</f>
        <v/>
      </c>
      <c r="E269" s="241" t="str">
        <f>IFERROR(VLOOKUP($B269,'Institution Evaluation'!$A$55:$F$345,4,0),IFERROR(VLOOKUP($B269,'Privacy Analyst Evaluation'!$A$46:$F$120,4,0),""))&amp;""</f>
        <v/>
      </c>
      <c r="F269" s="241" t="str">
        <f>IFERROR(VLOOKUP($B269,'Institution Evaluation'!$A$55:$F$345,6,0),IFERROR(VLOOKUP($B269,'Privacy Analyst Evaluation'!$A$46:$F$120,6,0),""))&amp;""</f>
        <v/>
      </c>
      <c r="G269" s="242"/>
      <c r="H269" s="241" t="str">
        <f>IFERROR(IF($H268+1&gt;'(backend scoring)'!$Q$335,"",$H268+1),"")</f>
        <v/>
      </c>
      <c r="I269" s="241" t="str">
        <f>_xlfn.XLOOKUP($H269,'(backend scoring)'!$S$2:$S$333,'(backend scoring)'!$A$2:$A$333,"")</f>
        <v/>
      </c>
      <c r="J269" s="241" t="str">
        <f>IFERROR(VLOOKUP($I269,'Institution Evaluation'!$A$55:$F$345,2,0),IFERROR(VLOOKUP($I269,'Privacy Analyst Evaluation'!$A$46:$F$120,2,0),""))</f>
        <v/>
      </c>
      <c r="K269" s="241" t="str">
        <f>IFERROR(VLOOKUP($I269,'Institution Evaluation'!$A$55:$F$345,3,0),IFERROR(VLOOKUP($I269,'Privacy Analyst Evaluation'!$A$46:$F$120,3,0),""))&amp;""</f>
        <v/>
      </c>
      <c r="L269" s="241" t="str">
        <f>IFERROR(VLOOKUP($I269,'Institution Evaluation'!$A$55:$F$345,4,0),IFERROR(VLOOKUP($I269,'Privacy Analyst Evaluation'!$A$46:$F$120,4,0),""))&amp;""</f>
        <v/>
      </c>
      <c r="M269" s="241" t="str">
        <f>IFERROR(VLOOKUP($I269,'Institution Evaluation'!$A$55:$F$345,6,0),IFERROR(VLOOKUP($I269,'Privacy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ht="17" x14ac:dyDescent="0.2">
      <c r="A270" s="241" t="str">
        <f>IFERROR(IF($A269+1&gt;'(backend scoring)'!$T$335,"",$A269+1),"")</f>
        <v/>
      </c>
      <c r="B270" s="241" t="str">
        <f>_xlfn.XLOOKUP($A270,'(backend scoring)'!$V$2:$V$333,'(backend scoring)'!$A$2:$A$333,"")</f>
        <v/>
      </c>
      <c r="C270" s="241" t="str">
        <f>IFERROR(VLOOKUP($B270,'Institution Evaluation'!$A$55:$F$345,2,0),IFERROR(VLOOKUP($B270,'Privacy Analyst Evaluation'!$A$46:$F$120,2,0),""))&amp;""</f>
        <v/>
      </c>
      <c r="D270" s="241" t="str">
        <f>IFERROR(VLOOKUP($B270,'Institution Evaluation'!$A$55:$F$345,3,0),IFERROR(VLOOKUP($B270,'Privacy Analyst Evaluation'!$A$46:$F$120,3,0),""))&amp;""</f>
        <v/>
      </c>
      <c r="E270" s="241" t="str">
        <f>IFERROR(VLOOKUP($B270,'Institution Evaluation'!$A$55:$F$345,4,0),IFERROR(VLOOKUP($B270,'Privacy Analyst Evaluation'!$A$46:$F$120,4,0),""))&amp;""</f>
        <v/>
      </c>
      <c r="F270" s="241" t="str">
        <f>IFERROR(VLOOKUP($B270,'Institution Evaluation'!$A$55:$F$345,6,0),IFERROR(VLOOKUP($B270,'Privacy Analyst Evaluation'!$A$46:$F$120,6,0),""))&amp;""</f>
        <v/>
      </c>
      <c r="G270" s="242"/>
      <c r="H270" s="241" t="str">
        <f>IFERROR(IF($H269+1&gt;'(backend scoring)'!$Q$335,"",$H269+1),"")</f>
        <v/>
      </c>
      <c r="I270" s="241" t="str">
        <f>_xlfn.XLOOKUP($H270,'(backend scoring)'!$S$2:$S$333,'(backend scoring)'!$A$2:$A$333,"")</f>
        <v/>
      </c>
      <c r="J270" s="241" t="str">
        <f>IFERROR(VLOOKUP($I270,'Institution Evaluation'!$A$55:$F$345,2,0),IFERROR(VLOOKUP($I270,'Privacy Analyst Evaluation'!$A$46:$F$120,2,0),""))</f>
        <v/>
      </c>
      <c r="K270" s="241" t="str">
        <f>IFERROR(VLOOKUP($I270,'Institution Evaluation'!$A$55:$F$345,3,0),IFERROR(VLOOKUP($I270,'Privacy Analyst Evaluation'!$A$46:$F$120,3,0),""))&amp;""</f>
        <v/>
      </c>
      <c r="L270" s="241" t="str">
        <f>IFERROR(VLOOKUP($I270,'Institution Evaluation'!$A$55:$F$345,4,0),IFERROR(VLOOKUP($I270,'Privacy Analyst Evaluation'!$A$46:$F$120,4,0),""))&amp;""</f>
        <v/>
      </c>
      <c r="M270" s="241" t="str">
        <f>IFERROR(VLOOKUP($I270,'Institution Evaluation'!$A$55:$F$345,6,0),IFERROR(VLOOKUP($I270,'Privacy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ht="17" x14ac:dyDescent="0.2">
      <c r="A271" s="241" t="str">
        <f>IFERROR(IF($A270+1&gt;'(backend scoring)'!$T$335,"",$A270+1),"")</f>
        <v/>
      </c>
      <c r="B271" s="241" t="str">
        <f>_xlfn.XLOOKUP($A271,'(backend scoring)'!$V$2:$V$333,'(backend scoring)'!$A$2:$A$333,"")</f>
        <v/>
      </c>
      <c r="C271" s="241" t="str">
        <f>IFERROR(VLOOKUP($B271,'Institution Evaluation'!$A$55:$F$345,2,0),IFERROR(VLOOKUP($B271,'Privacy Analyst Evaluation'!$A$46:$F$120,2,0),""))&amp;""</f>
        <v/>
      </c>
      <c r="D271" s="241" t="str">
        <f>IFERROR(VLOOKUP($B271,'Institution Evaluation'!$A$55:$F$345,3,0),IFERROR(VLOOKUP($B271,'Privacy Analyst Evaluation'!$A$46:$F$120,3,0),""))&amp;""</f>
        <v/>
      </c>
      <c r="E271" s="241" t="str">
        <f>IFERROR(VLOOKUP($B271,'Institution Evaluation'!$A$55:$F$345,4,0),IFERROR(VLOOKUP($B271,'Privacy Analyst Evaluation'!$A$46:$F$120,4,0),""))&amp;""</f>
        <v/>
      </c>
      <c r="F271" s="241" t="str">
        <f>IFERROR(VLOOKUP($B271,'Institution Evaluation'!$A$55:$F$345,6,0),IFERROR(VLOOKUP($B271,'Privacy Analyst Evaluation'!$A$46:$F$120,6,0),""))&amp;""</f>
        <v/>
      </c>
      <c r="G271" s="242"/>
      <c r="H271" s="241" t="str">
        <f>IFERROR(IF($H270+1&gt;'(backend scoring)'!$Q$335,"",$H270+1),"")</f>
        <v/>
      </c>
      <c r="I271" s="241" t="str">
        <f>_xlfn.XLOOKUP($H271,'(backend scoring)'!$S$2:$S$333,'(backend scoring)'!$A$2:$A$333,"")</f>
        <v/>
      </c>
      <c r="J271" s="241" t="str">
        <f>IFERROR(VLOOKUP($I271,'Institution Evaluation'!$A$55:$F$345,2,0),IFERROR(VLOOKUP($I271,'Privacy Analyst Evaluation'!$A$46:$F$120,2,0),""))</f>
        <v/>
      </c>
      <c r="K271" s="241" t="str">
        <f>IFERROR(VLOOKUP($I271,'Institution Evaluation'!$A$55:$F$345,3,0),IFERROR(VLOOKUP($I271,'Privacy Analyst Evaluation'!$A$46:$F$120,3,0),""))&amp;""</f>
        <v/>
      </c>
      <c r="L271" s="241" t="str">
        <f>IFERROR(VLOOKUP($I271,'Institution Evaluation'!$A$55:$F$345,4,0),IFERROR(VLOOKUP($I271,'Privacy Analyst Evaluation'!$A$46:$F$120,4,0),""))&amp;""</f>
        <v/>
      </c>
      <c r="M271" s="241" t="str">
        <f>IFERROR(VLOOKUP($I271,'Institution Evaluation'!$A$55:$F$345,6,0),IFERROR(VLOOKUP($I271,'Privacy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ht="17" x14ac:dyDescent="0.2">
      <c r="A272" s="241" t="str">
        <f>IFERROR(IF($A271+1&gt;'(backend scoring)'!$T$335,"",$A271+1),"")</f>
        <v/>
      </c>
      <c r="B272" s="241" t="str">
        <f>_xlfn.XLOOKUP($A272,'(backend scoring)'!$V$2:$V$333,'(backend scoring)'!$A$2:$A$333,"")</f>
        <v/>
      </c>
      <c r="C272" s="241" t="str">
        <f>IFERROR(VLOOKUP($B272,'Institution Evaluation'!$A$55:$F$345,2,0),IFERROR(VLOOKUP($B272,'Privacy Analyst Evaluation'!$A$46:$F$120,2,0),""))&amp;""</f>
        <v/>
      </c>
      <c r="D272" s="241" t="str">
        <f>IFERROR(VLOOKUP($B272,'Institution Evaluation'!$A$55:$F$345,3,0),IFERROR(VLOOKUP($B272,'Privacy Analyst Evaluation'!$A$46:$F$120,3,0),""))&amp;""</f>
        <v/>
      </c>
      <c r="E272" s="241" t="str">
        <f>IFERROR(VLOOKUP($B272,'Institution Evaluation'!$A$55:$F$345,4,0),IFERROR(VLOOKUP($B272,'Privacy Analyst Evaluation'!$A$46:$F$120,4,0),""))&amp;""</f>
        <v/>
      </c>
      <c r="F272" s="241" t="str">
        <f>IFERROR(VLOOKUP($B272,'Institution Evaluation'!$A$55:$F$345,6,0),IFERROR(VLOOKUP($B272,'Privacy Analyst Evaluation'!$A$46:$F$120,6,0),""))&amp;""</f>
        <v/>
      </c>
      <c r="G272" s="242"/>
      <c r="H272" s="241" t="str">
        <f>IFERROR(IF($H271+1&gt;'(backend scoring)'!$Q$335,"",$H271+1),"")</f>
        <v/>
      </c>
      <c r="I272" s="241" t="str">
        <f>_xlfn.XLOOKUP($H272,'(backend scoring)'!$S$2:$S$333,'(backend scoring)'!$A$2:$A$333,"")</f>
        <v/>
      </c>
      <c r="J272" s="241" t="str">
        <f>IFERROR(VLOOKUP($I272,'Institution Evaluation'!$A$55:$F$345,2,0),IFERROR(VLOOKUP($I272,'Privacy Analyst Evaluation'!$A$46:$F$120,2,0),""))</f>
        <v/>
      </c>
      <c r="K272" s="241" t="str">
        <f>IFERROR(VLOOKUP($I272,'Institution Evaluation'!$A$55:$F$345,3,0),IFERROR(VLOOKUP($I272,'Privacy Analyst Evaluation'!$A$46:$F$120,3,0),""))&amp;""</f>
        <v/>
      </c>
      <c r="L272" s="241" t="str">
        <f>IFERROR(VLOOKUP($I272,'Institution Evaluation'!$A$55:$F$345,4,0),IFERROR(VLOOKUP($I272,'Privacy Analyst Evaluation'!$A$46:$F$120,4,0),""))&amp;""</f>
        <v/>
      </c>
      <c r="M272" s="241" t="str">
        <f>IFERROR(VLOOKUP($I272,'Institution Evaluation'!$A$55:$F$345,6,0),IFERROR(VLOOKUP($I272,'Privacy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ht="17" x14ac:dyDescent="0.2">
      <c r="A273" s="241" t="str">
        <f>IFERROR(IF($A272+1&gt;'(backend scoring)'!$T$335,"",$A272+1),"")</f>
        <v/>
      </c>
      <c r="B273" s="241" t="str">
        <f>_xlfn.XLOOKUP($A273,'(backend scoring)'!$V$2:$V$333,'(backend scoring)'!$A$2:$A$333,"")</f>
        <v/>
      </c>
      <c r="C273" s="241" t="str">
        <f>IFERROR(VLOOKUP($B273,'Institution Evaluation'!$A$55:$F$345,2,0),IFERROR(VLOOKUP($B273,'Privacy Analyst Evaluation'!$A$46:$F$120,2,0),""))&amp;""</f>
        <v/>
      </c>
      <c r="D273" s="241" t="str">
        <f>IFERROR(VLOOKUP($B273,'Institution Evaluation'!$A$55:$F$345,3,0),IFERROR(VLOOKUP($B273,'Privacy Analyst Evaluation'!$A$46:$F$120,3,0),""))&amp;""</f>
        <v/>
      </c>
      <c r="E273" s="241" t="str">
        <f>IFERROR(VLOOKUP($B273,'Institution Evaluation'!$A$55:$F$345,4,0),IFERROR(VLOOKUP($B273,'Privacy Analyst Evaluation'!$A$46:$F$120,4,0),""))&amp;""</f>
        <v/>
      </c>
      <c r="F273" s="241" t="str">
        <f>IFERROR(VLOOKUP($B273,'Institution Evaluation'!$A$55:$F$345,6,0),IFERROR(VLOOKUP($B273,'Privacy Analyst Evaluation'!$A$46:$F$120,6,0),""))&amp;""</f>
        <v/>
      </c>
      <c r="G273" s="242"/>
      <c r="H273" s="241" t="str">
        <f>IFERROR(IF($H272+1&gt;'(backend scoring)'!$Q$335,"",$H272+1),"")</f>
        <v/>
      </c>
      <c r="I273" s="241" t="str">
        <f>_xlfn.XLOOKUP($H273,'(backend scoring)'!$S$2:$S$333,'(backend scoring)'!$A$2:$A$333,"")</f>
        <v/>
      </c>
      <c r="J273" s="241" t="str">
        <f>IFERROR(VLOOKUP($I273,'Institution Evaluation'!$A$55:$F$345,2,0),IFERROR(VLOOKUP($I273,'Privacy Analyst Evaluation'!$A$46:$F$120,2,0),""))</f>
        <v/>
      </c>
      <c r="K273" s="241" t="str">
        <f>IFERROR(VLOOKUP($I273,'Institution Evaluation'!$A$55:$F$345,3,0),IFERROR(VLOOKUP($I273,'Privacy Analyst Evaluation'!$A$46:$F$120,3,0),""))&amp;""</f>
        <v/>
      </c>
      <c r="L273" s="241" t="str">
        <f>IFERROR(VLOOKUP($I273,'Institution Evaluation'!$A$55:$F$345,4,0),IFERROR(VLOOKUP($I273,'Privacy Analyst Evaluation'!$A$46:$F$120,4,0),""))&amp;""</f>
        <v/>
      </c>
      <c r="M273" s="241" t="str">
        <f>IFERROR(VLOOKUP($I273,'Institution Evaluation'!$A$55:$F$345,6,0),IFERROR(VLOOKUP($I273,'Privacy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ht="17" x14ac:dyDescent="0.2">
      <c r="A274" s="241" t="str">
        <f>IFERROR(IF($A273+1&gt;'(backend scoring)'!$T$335,"",$A273+1),"")</f>
        <v/>
      </c>
      <c r="B274" s="241" t="str">
        <f>_xlfn.XLOOKUP($A274,'(backend scoring)'!$V$2:$V$333,'(backend scoring)'!$A$2:$A$333,"")</f>
        <v/>
      </c>
      <c r="C274" s="241" t="str">
        <f>IFERROR(VLOOKUP($B274,'Institution Evaluation'!$A$55:$F$345,2,0),IFERROR(VLOOKUP($B274,'Privacy Analyst Evaluation'!$A$46:$F$120,2,0),""))&amp;""</f>
        <v/>
      </c>
      <c r="D274" s="241" t="str">
        <f>IFERROR(VLOOKUP($B274,'Institution Evaluation'!$A$55:$F$345,3,0),IFERROR(VLOOKUP($B274,'Privacy Analyst Evaluation'!$A$46:$F$120,3,0),""))&amp;""</f>
        <v/>
      </c>
      <c r="E274" s="241" t="str">
        <f>IFERROR(VLOOKUP($B274,'Institution Evaluation'!$A$55:$F$345,4,0),IFERROR(VLOOKUP($B274,'Privacy Analyst Evaluation'!$A$46:$F$120,4,0),""))&amp;""</f>
        <v/>
      </c>
      <c r="F274" s="241" t="str">
        <f>IFERROR(VLOOKUP($B274,'Institution Evaluation'!$A$55:$F$345,6,0),IFERROR(VLOOKUP($B274,'Privacy Analyst Evaluation'!$A$46:$F$120,6,0),""))&amp;""</f>
        <v/>
      </c>
      <c r="G274" s="242"/>
      <c r="H274" s="241" t="str">
        <f>IFERROR(IF($H273+1&gt;'(backend scoring)'!$Q$335,"",$H273+1),"")</f>
        <v/>
      </c>
      <c r="I274" s="241" t="str">
        <f>_xlfn.XLOOKUP($H274,'(backend scoring)'!$S$2:$S$333,'(backend scoring)'!$A$2:$A$333,"")</f>
        <v/>
      </c>
      <c r="J274" s="241" t="str">
        <f>IFERROR(VLOOKUP($I274,'Institution Evaluation'!$A$55:$F$345,2,0),IFERROR(VLOOKUP($I274,'Privacy Analyst Evaluation'!$A$46:$F$120,2,0),""))</f>
        <v/>
      </c>
      <c r="K274" s="241" t="str">
        <f>IFERROR(VLOOKUP($I274,'Institution Evaluation'!$A$55:$F$345,3,0),IFERROR(VLOOKUP($I274,'Privacy Analyst Evaluation'!$A$46:$F$120,3,0),""))&amp;""</f>
        <v/>
      </c>
      <c r="L274" s="241" t="str">
        <f>IFERROR(VLOOKUP($I274,'Institution Evaluation'!$A$55:$F$345,4,0),IFERROR(VLOOKUP($I274,'Privacy Analyst Evaluation'!$A$46:$F$120,4,0),""))&amp;""</f>
        <v/>
      </c>
      <c r="M274" s="241" t="str">
        <f>IFERROR(VLOOKUP($I274,'Institution Evaluation'!$A$55:$F$345,6,0),IFERROR(VLOOKUP($I274,'Privacy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ht="17" x14ac:dyDescent="0.2">
      <c r="A275" s="241" t="str">
        <f>IFERROR(IF($A274+1&gt;'(backend scoring)'!$T$335,"",$A274+1),"")</f>
        <v/>
      </c>
      <c r="B275" s="241" t="str">
        <f>_xlfn.XLOOKUP($A275,'(backend scoring)'!$V$2:$V$333,'(backend scoring)'!$A$2:$A$333,"")</f>
        <v/>
      </c>
      <c r="C275" s="241" t="str">
        <f>IFERROR(VLOOKUP($B275,'Institution Evaluation'!$A$55:$F$345,2,0),IFERROR(VLOOKUP($B275,'Privacy Analyst Evaluation'!$A$46:$F$120,2,0),""))&amp;""</f>
        <v/>
      </c>
      <c r="D275" s="241" t="str">
        <f>IFERROR(VLOOKUP($B275,'Institution Evaluation'!$A$55:$F$345,3,0),IFERROR(VLOOKUP($B275,'Privacy Analyst Evaluation'!$A$46:$F$120,3,0),""))&amp;""</f>
        <v/>
      </c>
      <c r="E275" s="241" t="str">
        <f>IFERROR(VLOOKUP($B275,'Institution Evaluation'!$A$55:$F$345,4,0),IFERROR(VLOOKUP($B275,'Privacy Analyst Evaluation'!$A$46:$F$120,4,0),""))&amp;""</f>
        <v/>
      </c>
      <c r="F275" s="241" t="str">
        <f>IFERROR(VLOOKUP($B275,'Institution Evaluation'!$A$55:$F$345,6,0),IFERROR(VLOOKUP($B275,'Privacy Analyst Evaluation'!$A$46:$F$120,6,0),""))&amp;""</f>
        <v/>
      </c>
      <c r="G275" s="242"/>
      <c r="H275" s="241" t="str">
        <f>IFERROR(IF($H274+1&gt;'(backend scoring)'!$Q$335,"",$H274+1),"")</f>
        <v/>
      </c>
      <c r="I275" s="241" t="str">
        <f>_xlfn.XLOOKUP($H275,'(backend scoring)'!$S$2:$S$333,'(backend scoring)'!$A$2:$A$333,"")</f>
        <v/>
      </c>
      <c r="J275" s="241" t="str">
        <f>IFERROR(VLOOKUP($I275,'Institution Evaluation'!$A$55:$F$345,2,0),IFERROR(VLOOKUP($I275,'Privacy Analyst Evaluation'!$A$46:$F$120,2,0),""))</f>
        <v/>
      </c>
      <c r="K275" s="241" t="str">
        <f>IFERROR(VLOOKUP($I275,'Institution Evaluation'!$A$55:$F$345,3,0),IFERROR(VLOOKUP($I275,'Privacy Analyst Evaluation'!$A$46:$F$120,3,0),""))&amp;""</f>
        <v/>
      </c>
      <c r="L275" s="241" t="str">
        <f>IFERROR(VLOOKUP($I275,'Institution Evaluation'!$A$55:$F$345,4,0),IFERROR(VLOOKUP($I275,'Privacy Analyst Evaluation'!$A$46:$F$120,4,0),""))&amp;""</f>
        <v/>
      </c>
      <c r="M275" s="241" t="str">
        <f>IFERROR(VLOOKUP($I275,'Institution Evaluation'!$A$55:$F$345,6,0),IFERROR(VLOOKUP($I275,'Privacy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ht="17" x14ac:dyDescent="0.2">
      <c r="A276" s="241" t="str">
        <f>IFERROR(IF($A275+1&gt;'(backend scoring)'!$T$335,"",$A275+1),"")</f>
        <v/>
      </c>
      <c r="B276" s="241" t="str">
        <f>_xlfn.XLOOKUP($A276,'(backend scoring)'!$V$2:$V$333,'(backend scoring)'!$A$2:$A$333,"")</f>
        <v/>
      </c>
      <c r="C276" s="241" t="str">
        <f>IFERROR(VLOOKUP($B276,'Institution Evaluation'!$A$55:$F$345,2,0),IFERROR(VLOOKUP($B276,'Privacy Analyst Evaluation'!$A$46:$F$120,2,0),""))&amp;""</f>
        <v/>
      </c>
      <c r="D276" s="241" t="str">
        <f>IFERROR(VLOOKUP($B276,'Institution Evaluation'!$A$55:$F$345,3,0),IFERROR(VLOOKUP($B276,'Privacy Analyst Evaluation'!$A$46:$F$120,3,0),""))&amp;""</f>
        <v/>
      </c>
      <c r="E276" s="241" t="str">
        <f>IFERROR(VLOOKUP($B276,'Institution Evaluation'!$A$55:$F$345,4,0),IFERROR(VLOOKUP($B276,'Privacy Analyst Evaluation'!$A$46:$F$120,4,0),""))&amp;""</f>
        <v/>
      </c>
      <c r="F276" s="241" t="str">
        <f>IFERROR(VLOOKUP($B276,'Institution Evaluation'!$A$55:$F$345,6,0),IFERROR(VLOOKUP($B276,'Privacy Analyst Evaluation'!$A$46:$F$120,6,0),""))&amp;""</f>
        <v/>
      </c>
      <c r="G276" s="242"/>
      <c r="H276" s="241" t="str">
        <f>IFERROR(IF($H275+1&gt;'(backend scoring)'!$Q$335,"",$H275+1),"")</f>
        <v/>
      </c>
      <c r="I276" s="241" t="str">
        <f>_xlfn.XLOOKUP($H276,'(backend scoring)'!$S$2:$S$333,'(backend scoring)'!$A$2:$A$333,"")</f>
        <v/>
      </c>
      <c r="J276" s="241" t="str">
        <f>IFERROR(VLOOKUP($I276,'Institution Evaluation'!$A$55:$F$345,2,0),IFERROR(VLOOKUP($I276,'Privacy Analyst Evaluation'!$A$46:$F$120,2,0),""))</f>
        <v/>
      </c>
      <c r="K276" s="241" t="str">
        <f>IFERROR(VLOOKUP($I276,'Institution Evaluation'!$A$55:$F$345,3,0),IFERROR(VLOOKUP($I276,'Privacy Analyst Evaluation'!$A$46:$F$120,3,0),""))&amp;""</f>
        <v/>
      </c>
      <c r="L276" s="241" t="str">
        <f>IFERROR(VLOOKUP($I276,'Institution Evaluation'!$A$55:$F$345,4,0),IFERROR(VLOOKUP($I276,'Privacy Analyst Evaluation'!$A$46:$F$120,4,0),""))&amp;""</f>
        <v/>
      </c>
      <c r="M276" s="241" t="str">
        <f>IFERROR(VLOOKUP($I276,'Institution Evaluation'!$A$55:$F$345,6,0),IFERROR(VLOOKUP($I276,'Privacy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ht="17" x14ac:dyDescent="0.2">
      <c r="A277" s="241" t="str">
        <f>IFERROR(IF($A276+1&gt;'(backend scoring)'!$T$335,"",$A276+1),"")</f>
        <v/>
      </c>
      <c r="B277" s="241" t="str">
        <f>_xlfn.XLOOKUP($A277,'(backend scoring)'!$V$2:$V$333,'(backend scoring)'!$A$2:$A$333,"")</f>
        <v/>
      </c>
      <c r="C277" s="241" t="str">
        <f>IFERROR(VLOOKUP($B277,'Institution Evaluation'!$A$55:$F$345,2,0),IFERROR(VLOOKUP($B277,'Privacy Analyst Evaluation'!$A$46:$F$120,2,0),""))&amp;""</f>
        <v/>
      </c>
      <c r="D277" s="241" t="str">
        <f>IFERROR(VLOOKUP($B277,'Institution Evaluation'!$A$55:$F$345,3,0),IFERROR(VLOOKUP($B277,'Privacy Analyst Evaluation'!$A$46:$F$120,3,0),""))&amp;""</f>
        <v/>
      </c>
      <c r="E277" s="241" t="str">
        <f>IFERROR(VLOOKUP($B277,'Institution Evaluation'!$A$55:$F$345,4,0),IFERROR(VLOOKUP($B277,'Privacy Analyst Evaluation'!$A$46:$F$120,4,0),""))&amp;""</f>
        <v/>
      </c>
      <c r="F277" s="241" t="str">
        <f>IFERROR(VLOOKUP($B277,'Institution Evaluation'!$A$55:$F$345,6,0),IFERROR(VLOOKUP($B277,'Privacy Analyst Evaluation'!$A$46:$F$120,6,0),""))&amp;""</f>
        <v/>
      </c>
      <c r="G277" s="242"/>
      <c r="H277" s="241" t="str">
        <f>IFERROR(IF($H276+1&gt;'(backend scoring)'!$Q$335,"",$H276+1),"")</f>
        <v/>
      </c>
      <c r="I277" s="241" t="str">
        <f>_xlfn.XLOOKUP($H277,'(backend scoring)'!$S$2:$S$333,'(backend scoring)'!$A$2:$A$333,"")</f>
        <v/>
      </c>
      <c r="J277" s="241" t="str">
        <f>IFERROR(VLOOKUP($I277,'Institution Evaluation'!$A$55:$F$345,2,0),IFERROR(VLOOKUP($I277,'Privacy Analyst Evaluation'!$A$46:$F$120,2,0),""))</f>
        <v/>
      </c>
      <c r="K277" s="241" t="str">
        <f>IFERROR(VLOOKUP($I277,'Institution Evaluation'!$A$55:$F$345,3,0),IFERROR(VLOOKUP($I277,'Privacy Analyst Evaluation'!$A$46:$F$120,3,0),""))&amp;""</f>
        <v/>
      </c>
      <c r="L277" s="241" t="str">
        <f>IFERROR(VLOOKUP($I277,'Institution Evaluation'!$A$55:$F$345,4,0),IFERROR(VLOOKUP($I277,'Privacy Analyst Evaluation'!$A$46:$F$120,4,0),""))&amp;""</f>
        <v/>
      </c>
      <c r="M277" s="241" t="str">
        <f>IFERROR(VLOOKUP($I277,'Institution Evaluation'!$A$55:$F$345,6,0),IFERROR(VLOOKUP($I277,'Privacy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ht="17" x14ac:dyDescent="0.2">
      <c r="A278" s="241" t="str">
        <f>IFERROR(IF($A277+1&gt;'(backend scoring)'!$T$335,"",$A277+1),"")</f>
        <v/>
      </c>
      <c r="B278" s="241" t="str">
        <f>_xlfn.XLOOKUP($A278,'(backend scoring)'!$V$2:$V$333,'(backend scoring)'!$A$2:$A$333,"")</f>
        <v/>
      </c>
      <c r="C278" s="241" t="str">
        <f>IFERROR(VLOOKUP($B278,'Institution Evaluation'!$A$55:$F$345,2,0),IFERROR(VLOOKUP($B278,'Privacy Analyst Evaluation'!$A$46:$F$120,2,0),""))&amp;""</f>
        <v/>
      </c>
      <c r="D278" s="241" t="str">
        <f>IFERROR(VLOOKUP($B278,'Institution Evaluation'!$A$55:$F$345,3,0),IFERROR(VLOOKUP($B278,'Privacy Analyst Evaluation'!$A$46:$F$120,3,0),""))&amp;""</f>
        <v/>
      </c>
      <c r="E278" s="241" t="str">
        <f>IFERROR(VLOOKUP($B278,'Institution Evaluation'!$A$55:$F$345,4,0),IFERROR(VLOOKUP($B278,'Privacy Analyst Evaluation'!$A$46:$F$120,4,0),""))&amp;""</f>
        <v/>
      </c>
      <c r="F278" s="241" t="str">
        <f>IFERROR(VLOOKUP($B278,'Institution Evaluation'!$A$55:$F$345,6,0),IFERROR(VLOOKUP($B278,'Privacy Analyst Evaluation'!$A$46:$F$120,6,0),""))&amp;""</f>
        <v/>
      </c>
      <c r="G278" s="242"/>
      <c r="H278" s="241" t="str">
        <f>IFERROR(IF($H277+1&gt;'(backend scoring)'!$Q$335,"",$H277+1),"")</f>
        <v/>
      </c>
      <c r="I278" s="241" t="str">
        <f>_xlfn.XLOOKUP($H278,'(backend scoring)'!$S$2:$S$333,'(backend scoring)'!$A$2:$A$333,"")</f>
        <v/>
      </c>
      <c r="J278" s="241" t="str">
        <f>IFERROR(VLOOKUP($I278,'Institution Evaluation'!$A$55:$F$345,2,0),IFERROR(VLOOKUP($I278,'Privacy Analyst Evaluation'!$A$46:$F$120,2,0),""))</f>
        <v/>
      </c>
      <c r="K278" s="241" t="str">
        <f>IFERROR(VLOOKUP($I278,'Institution Evaluation'!$A$55:$F$345,3,0),IFERROR(VLOOKUP($I278,'Privacy Analyst Evaluation'!$A$46:$F$120,3,0),""))&amp;""</f>
        <v/>
      </c>
      <c r="L278" s="241" t="str">
        <f>IFERROR(VLOOKUP($I278,'Institution Evaluation'!$A$55:$F$345,4,0),IFERROR(VLOOKUP($I278,'Privacy Analyst Evaluation'!$A$46:$F$120,4,0),""))&amp;""</f>
        <v/>
      </c>
      <c r="M278" s="241" t="str">
        <f>IFERROR(VLOOKUP($I278,'Institution Evaluation'!$A$55:$F$345,6,0),IFERROR(VLOOKUP($I278,'Privacy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ht="17" x14ac:dyDescent="0.2">
      <c r="A279" s="241" t="str">
        <f>IFERROR(IF($A278+1&gt;'(backend scoring)'!$T$335,"",$A278+1),"")</f>
        <v/>
      </c>
      <c r="B279" s="241" t="str">
        <f>_xlfn.XLOOKUP($A279,'(backend scoring)'!$V$2:$V$333,'(backend scoring)'!$A$2:$A$333,"")</f>
        <v/>
      </c>
      <c r="C279" s="241" t="str">
        <f>IFERROR(VLOOKUP($B279,'Institution Evaluation'!$A$55:$F$345,2,0),IFERROR(VLOOKUP($B279,'Privacy Analyst Evaluation'!$A$46:$F$120,2,0),""))&amp;""</f>
        <v/>
      </c>
      <c r="D279" s="241" t="str">
        <f>IFERROR(VLOOKUP($B279,'Institution Evaluation'!$A$55:$F$345,3,0),IFERROR(VLOOKUP($B279,'Privacy Analyst Evaluation'!$A$46:$F$120,3,0),""))&amp;""</f>
        <v/>
      </c>
      <c r="E279" s="241" t="str">
        <f>IFERROR(VLOOKUP($B279,'Institution Evaluation'!$A$55:$F$345,4,0),IFERROR(VLOOKUP($B279,'Privacy Analyst Evaluation'!$A$46:$F$120,4,0),""))&amp;""</f>
        <v/>
      </c>
      <c r="F279" s="241" t="str">
        <f>IFERROR(VLOOKUP($B279,'Institution Evaluation'!$A$55:$F$345,6,0),IFERROR(VLOOKUP($B279,'Privacy Analyst Evaluation'!$A$46:$F$120,6,0),""))&amp;""</f>
        <v/>
      </c>
      <c r="G279" s="242"/>
      <c r="H279" s="241" t="str">
        <f>IFERROR(IF($H278+1&gt;'(backend scoring)'!$Q$335,"",$H278+1),"")</f>
        <v/>
      </c>
      <c r="I279" s="241" t="str">
        <f>_xlfn.XLOOKUP($H279,'(backend scoring)'!$S$2:$S$333,'(backend scoring)'!$A$2:$A$333,"")</f>
        <v/>
      </c>
      <c r="J279" s="241" t="str">
        <f>IFERROR(VLOOKUP($I279,'Institution Evaluation'!$A$55:$F$345,2,0),IFERROR(VLOOKUP($I279,'Privacy Analyst Evaluation'!$A$46:$F$120,2,0),""))</f>
        <v/>
      </c>
      <c r="K279" s="241" t="str">
        <f>IFERROR(VLOOKUP($I279,'Institution Evaluation'!$A$55:$F$345,3,0),IFERROR(VLOOKUP($I279,'Privacy Analyst Evaluation'!$A$46:$F$120,3,0),""))&amp;""</f>
        <v/>
      </c>
      <c r="L279" s="241" t="str">
        <f>IFERROR(VLOOKUP($I279,'Institution Evaluation'!$A$55:$F$345,4,0),IFERROR(VLOOKUP($I279,'Privacy Analyst Evaluation'!$A$46:$F$120,4,0),""))&amp;""</f>
        <v/>
      </c>
      <c r="M279" s="241" t="str">
        <f>IFERROR(VLOOKUP($I279,'Institution Evaluation'!$A$55:$F$345,6,0),IFERROR(VLOOKUP($I279,'Privacy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ht="17" x14ac:dyDescent="0.2">
      <c r="A280" s="241" t="str">
        <f>IFERROR(IF($A279+1&gt;'(backend scoring)'!$T$335,"",$A279+1),"")</f>
        <v/>
      </c>
      <c r="B280" s="241" t="str">
        <f>_xlfn.XLOOKUP($A280,'(backend scoring)'!$V$2:$V$333,'(backend scoring)'!$A$2:$A$333,"")</f>
        <v/>
      </c>
      <c r="C280" s="241" t="str">
        <f>IFERROR(VLOOKUP($B280,'Institution Evaluation'!$A$55:$F$345,2,0),IFERROR(VLOOKUP($B280,'Privacy Analyst Evaluation'!$A$46:$F$120,2,0),""))&amp;""</f>
        <v/>
      </c>
      <c r="D280" s="241" t="str">
        <f>IFERROR(VLOOKUP($B280,'Institution Evaluation'!$A$55:$F$345,3,0),IFERROR(VLOOKUP($B280,'Privacy Analyst Evaluation'!$A$46:$F$120,3,0),""))&amp;""</f>
        <v/>
      </c>
      <c r="E280" s="241" t="str">
        <f>IFERROR(VLOOKUP($B280,'Institution Evaluation'!$A$55:$F$345,4,0),IFERROR(VLOOKUP($B280,'Privacy Analyst Evaluation'!$A$46:$F$120,4,0),""))&amp;""</f>
        <v/>
      </c>
      <c r="F280" s="241" t="str">
        <f>IFERROR(VLOOKUP($B280,'Institution Evaluation'!$A$55:$F$345,6,0),IFERROR(VLOOKUP($B280,'Privacy Analyst Evaluation'!$A$46:$F$120,6,0),""))&amp;""</f>
        <v/>
      </c>
      <c r="G280" s="242"/>
      <c r="H280" s="241" t="str">
        <f>IFERROR(IF($H279+1&gt;'(backend scoring)'!$Q$335,"",$H279+1),"")</f>
        <v/>
      </c>
      <c r="I280" s="241" t="str">
        <f>_xlfn.XLOOKUP($H280,'(backend scoring)'!$S$2:$S$333,'(backend scoring)'!$A$2:$A$333,"")</f>
        <v/>
      </c>
      <c r="J280" s="241" t="str">
        <f>IFERROR(VLOOKUP($I280,'Institution Evaluation'!$A$55:$F$345,2,0),IFERROR(VLOOKUP($I280,'Privacy Analyst Evaluation'!$A$46:$F$120,2,0),""))</f>
        <v/>
      </c>
      <c r="K280" s="241" t="str">
        <f>IFERROR(VLOOKUP($I280,'Institution Evaluation'!$A$55:$F$345,3,0),IFERROR(VLOOKUP($I280,'Privacy Analyst Evaluation'!$A$46:$F$120,3,0),""))&amp;""</f>
        <v/>
      </c>
      <c r="L280" s="241" t="str">
        <f>IFERROR(VLOOKUP($I280,'Institution Evaluation'!$A$55:$F$345,4,0),IFERROR(VLOOKUP($I280,'Privacy Analyst Evaluation'!$A$46:$F$120,4,0),""))&amp;""</f>
        <v/>
      </c>
      <c r="M280" s="241" t="str">
        <f>IFERROR(VLOOKUP($I280,'Institution Evaluation'!$A$55:$F$345,6,0),IFERROR(VLOOKUP($I280,'Privacy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ht="17" x14ac:dyDescent="0.2">
      <c r="A281" s="241" t="str">
        <f>IFERROR(IF($A280+1&gt;'(backend scoring)'!$T$335,"",$A280+1),"")</f>
        <v/>
      </c>
      <c r="B281" s="241" t="str">
        <f>_xlfn.XLOOKUP($A281,'(backend scoring)'!$V$2:$V$333,'(backend scoring)'!$A$2:$A$333,"")</f>
        <v/>
      </c>
      <c r="C281" s="241" t="str">
        <f>IFERROR(VLOOKUP($B281,'Institution Evaluation'!$A$55:$F$345,2,0),IFERROR(VLOOKUP($B281,'Privacy Analyst Evaluation'!$A$46:$F$120,2,0),""))&amp;""</f>
        <v/>
      </c>
      <c r="D281" s="241" t="str">
        <f>IFERROR(VLOOKUP($B281,'Institution Evaluation'!$A$55:$F$345,3,0),IFERROR(VLOOKUP($B281,'Privacy Analyst Evaluation'!$A$46:$F$120,3,0),""))&amp;""</f>
        <v/>
      </c>
      <c r="E281" s="241" t="str">
        <f>IFERROR(VLOOKUP($B281,'Institution Evaluation'!$A$55:$F$345,4,0),IFERROR(VLOOKUP($B281,'Privacy Analyst Evaluation'!$A$46:$F$120,4,0),""))&amp;""</f>
        <v/>
      </c>
      <c r="F281" s="241" t="str">
        <f>IFERROR(VLOOKUP($B281,'Institution Evaluation'!$A$55:$F$345,6,0),IFERROR(VLOOKUP($B281,'Privacy Analyst Evaluation'!$A$46:$F$120,6,0),""))&amp;""</f>
        <v/>
      </c>
      <c r="G281" s="242"/>
      <c r="H281" s="241" t="str">
        <f>IFERROR(IF($H280+1&gt;'(backend scoring)'!$Q$335,"",$H280+1),"")</f>
        <v/>
      </c>
      <c r="I281" s="241" t="str">
        <f>_xlfn.XLOOKUP($H281,'(backend scoring)'!$S$2:$S$333,'(backend scoring)'!$A$2:$A$333,"")</f>
        <v/>
      </c>
      <c r="J281" s="241" t="str">
        <f>IFERROR(VLOOKUP($I281,'Institution Evaluation'!$A$55:$F$345,2,0),IFERROR(VLOOKUP($I281,'Privacy Analyst Evaluation'!$A$46:$F$120,2,0),""))</f>
        <v/>
      </c>
      <c r="K281" s="241" t="str">
        <f>IFERROR(VLOOKUP($I281,'Institution Evaluation'!$A$55:$F$345,3,0),IFERROR(VLOOKUP($I281,'Privacy Analyst Evaluation'!$A$46:$F$120,3,0),""))&amp;""</f>
        <v/>
      </c>
      <c r="L281" s="241" t="str">
        <f>IFERROR(VLOOKUP($I281,'Institution Evaluation'!$A$55:$F$345,4,0),IFERROR(VLOOKUP($I281,'Privacy Analyst Evaluation'!$A$46:$F$120,4,0),""))&amp;""</f>
        <v/>
      </c>
      <c r="M281" s="241" t="str">
        <f>IFERROR(VLOOKUP($I281,'Institution Evaluation'!$A$55:$F$345,6,0),IFERROR(VLOOKUP($I281,'Privacy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ht="17" x14ac:dyDescent="0.2">
      <c r="A282" s="241" t="str">
        <f>IFERROR(IF($A281+1&gt;'(backend scoring)'!$T$335,"",$A281+1),"")</f>
        <v/>
      </c>
      <c r="B282" s="241" t="str">
        <f>_xlfn.XLOOKUP($A282,'(backend scoring)'!$V$2:$V$333,'(backend scoring)'!$A$2:$A$333,"")</f>
        <v/>
      </c>
      <c r="C282" s="241" t="str">
        <f>IFERROR(VLOOKUP($B282,'Institution Evaluation'!$A$55:$F$345,2,0),IFERROR(VLOOKUP($B282,'Privacy Analyst Evaluation'!$A$46:$F$120,2,0),""))&amp;""</f>
        <v/>
      </c>
      <c r="D282" s="241" t="str">
        <f>IFERROR(VLOOKUP($B282,'Institution Evaluation'!$A$55:$F$345,3,0),IFERROR(VLOOKUP($B282,'Privacy Analyst Evaluation'!$A$46:$F$120,3,0),""))&amp;""</f>
        <v/>
      </c>
      <c r="E282" s="241" t="str">
        <f>IFERROR(VLOOKUP($B282,'Institution Evaluation'!$A$55:$F$345,4,0),IFERROR(VLOOKUP($B282,'Privacy Analyst Evaluation'!$A$46:$F$120,4,0),""))&amp;""</f>
        <v/>
      </c>
      <c r="F282" s="241" t="str">
        <f>IFERROR(VLOOKUP($B282,'Institution Evaluation'!$A$55:$F$345,6,0),IFERROR(VLOOKUP($B282,'Privacy Analyst Evaluation'!$A$46:$F$120,6,0),""))&amp;""</f>
        <v/>
      </c>
      <c r="G282" s="242"/>
      <c r="H282" s="241" t="str">
        <f>IFERROR(IF($H281+1&gt;'(backend scoring)'!$Q$335,"",$H281+1),"")</f>
        <v/>
      </c>
      <c r="I282" s="241" t="str">
        <f>_xlfn.XLOOKUP($H282,'(backend scoring)'!$S$2:$S$333,'(backend scoring)'!$A$2:$A$333,"")</f>
        <v/>
      </c>
      <c r="J282" s="241" t="str">
        <f>IFERROR(VLOOKUP($I282,'Institution Evaluation'!$A$55:$F$345,2,0),IFERROR(VLOOKUP($I282,'Privacy Analyst Evaluation'!$A$46:$F$120,2,0),""))</f>
        <v/>
      </c>
      <c r="K282" s="241" t="str">
        <f>IFERROR(VLOOKUP($I282,'Institution Evaluation'!$A$55:$F$345,3,0),IFERROR(VLOOKUP($I282,'Privacy Analyst Evaluation'!$A$46:$F$120,3,0),""))&amp;""</f>
        <v/>
      </c>
      <c r="L282" s="241" t="str">
        <f>IFERROR(VLOOKUP($I282,'Institution Evaluation'!$A$55:$F$345,4,0),IFERROR(VLOOKUP($I282,'Privacy Analyst Evaluation'!$A$46:$F$120,4,0),""))&amp;""</f>
        <v/>
      </c>
      <c r="M282" s="241" t="str">
        <f>IFERROR(VLOOKUP($I282,'Institution Evaluation'!$A$55:$F$345,6,0),IFERROR(VLOOKUP($I282,'Privacy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ht="17" x14ac:dyDescent="0.2">
      <c r="A283" s="241" t="str">
        <f>IFERROR(IF($A282+1&gt;'(backend scoring)'!$T$335,"",$A282+1),"")</f>
        <v/>
      </c>
      <c r="B283" s="241" t="str">
        <f>_xlfn.XLOOKUP($A283,'(backend scoring)'!$V$2:$V$333,'(backend scoring)'!$A$2:$A$333,"")</f>
        <v/>
      </c>
      <c r="C283" s="241" t="str">
        <f>IFERROR(VLOOKUP($B283,'Institution Evaluation'!$A$55:$F$345,2,0),IFERROR(VLOOKUP($B283,'Privacy Analyst Evaluation'!$A$46:$F$120,2,0),""))&amp;""</f>
        <v/>
      </c>
      <c r="D283" s="241" t="str">
        <f>IFERROR(VLOOKUP($B283,'Institution Evaluation'!$A$55:$F$345,3,0),IFERROR(VLOOKUP($B283,'Privacy Analyst Evaluation'!$A$46:$F$120,3,0),""))&amp;""</f>
        <v/>
      </c>
      <c r="E283" s="241" t="str">
        <f>IFERROR(VLOOKUP($B283,'Institution Evaluation'!$A$55:$F$345,4,0),IFERROR(VLOOKUP($B283,'Privacy Analyst Evaluation'!$A$46:$F$120,4,0),""))&amp;""</f>
        <v/>
      </c>
      <c r="F283" s="241" t="str">
        <f>IFERROR(VLOOKUP($B283,'Institution Evaluation'!$A$55:$F$345,6,0),IFERROR(VLOOKUP($B283,'Privacy Analyst Evaluation'!$A$46:$F$120,6,0),""))&amp;""</f>
        <v/>
      </c>
      <c r="G283" s="242"/>
      <c r="H283" s="241" t="str">
        <f>IFERROR(IF($H282+1&gt;'(backend scoring)'!$Q$335,"",$H282+1),"")</f>
        <v/>
      </c>
      <c r="I283" s="241" t="str">
        <f>_xlfn.XLOOKUP($H283,'(backend scoring)'!$S$2:$S$333,'(backend scoring)'!$A$2:$A$333,"")</f>
        <v/>
      </c>
      <c r="J283" s="241" t="str">
        <f>IFERROR(VLOOKUP($I283,'Institution Evaluation'!$A$55:$F$345,2,0),IFERROR(VLOOKUP($I283,'Privacy Analyst Evaluation'!$A$46:$F$120,2,0),""))</f>
        <v/>
      </c>
      <c r="K283" s="241" t="str">
        <f>IFERROR(VLOOKUP($I283,'Institution Evaluation'!$A$55:$F$345,3,0),IFERROR(VLOOKUP($I283,'Privacy Analyst Evaluation'!$A$46:$F$120,3,0),""))&amp;""</f>
        <v/>
      </c>
      <c r="L283" s="241" t="str">
        <f>IFERROR(VLOOKUP($I283,'Institution Evaluation'!$A$55:$F$345,4,0),IFERROR(VLOOKUP($I283,'Privacy Analyst Evaluation'!$A$46:$F$120,4,0),""))&amp;""</f>
        <v/>
      </c>
      <c r="M283" s="241" t="str">
        <f>IFERROR(VLOOKUP($I283,'Institution Evaluation'!$A$55:$F$345,6,0),IFERROR(VLOOKUP($I283,'Privacy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ht="17" x14ac:dyDescent="0.2">
      <c r="A284" s="241" t="str">
        <f>IFERROR(IF($A283+1&gt;'(backend scoring)'!$T$335,"",$A283+1),"")</f>
        <v/>
      </c>
      <c r="B284" s="241" t="str">
        <f>_xlfn.XLOOKUP($A284,'(backend scoring)'!$V$2:$V$333,'(backend scoring)'!$A$2:$A$333,"")</f>
        <v/>
      </c>
      <c r="C284" s="241" t="str">
        <f>IFERROR(VLOOKUP($B284,'Institution Evaluation'!$A$55:$F$345,2,0),IFERROR(VLOOKUP($B284,'Privacy Analyst Evaluation'!$A$46:$F$120,2,0),""))&amp;""</f>
        <v/>
      </c>
      <c r="D284" s="241" t="str">
        <f>IFERROR(VLOOKUP($B284,'Institution Evaluation'!$A$55:$F$345,3,0),IFERROR(VLOOKUP($B284,'Privacy Analyst Evaluation'!$A$46:$F$120,3,0),""))&amp;""</f>
        <v/>
      </c>
      <c r="E284" s="241" t="str">
        <f>IFERROR(VLOOKUP($B284,'Institution Evaluation'!$A$55:$F$345,4,0),IFERROR(VLOOKUP($B284,'Privacy Analyst Evaluation'!$A$46:$F$120,4,0),""))&amp;""</f>
        <v/>
      </c>
      <c r="F284" s="241" t="str">
        <f>IFERROR(VLOOKUP($B284,'Institution Evaluation'!$A$55:$F$345,6,0),IFERROR(VLOOKUP($B284,'Privacy Analyst Evaluation'!$A$46:$F$120,6,0),""))&amp;""</f>
        <v/>
      </c>
      <c r="G284" s="242"/>
      <c r="H284" s="241" t="str">
        <f>IFERROR(IF($H283+1&gt;'(backend scoring)'!$Q$335,"",$H283+1),"")</f>
        <v/>
      </c>
      <c r="I284" s="241" t="str">
        <f>_xlfn.XLOOKUP($H284,'(backend scoring)'!$S$2:$S$333,'(backend scoring)'!$A$2:$A$333,"")</f>
        <v/>
      </c>
      <c r="J284" s="241" t="str">
        <f>IFERROR(VLOOKUP($I284,'Institution Evaluation'!$A$55:$F$345,2,0),IFERROR(VLOOKUP($I284,'Privacy Analyst Evaluation'!$A$46:$F$120,2,0),""))</f>
        <v/>
      </c>
      <c r="K284" s="241" t="str">
        <f>IFERROR(VLOOKUP($I284,'Institution Evaluation'!$A$55:$F$345,3,0),IFERROR(VLOOKUP($I284,'Privacy Analyst Evaluation'!$A$46:$F$120,3,0),""))&amp;""</f>
        <v/>
      </c>
      <c r="L284" s="241" t="str">
        <f>IFERROR(VLOOKUP($I284,'Institution Evaluation'!$A$55:$F$345,4,0),IFERROR(VLOOKUP($I284,'Privacy Analyst Evaluation'!$A$46:$F$120,4,0),""))&amp;""</f>
        <v/>
      </c>
      <c r="M284" s="241" t="str">
        <f>IFERROR(VLOOKUP($I284,'Institution Evaluation'!$A$55:$F$345,6,0),IFERROR(VLOOKUP($I284,'Privacy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ht="17" x14ac:dyDescent="0.2">
      <c r="A285" s="241" t="str">
        <f>IFERROR(IF($A284+1&gt;'(backend scoring)'!$T$335,"",$A284+1),"")</f>
        <v/>
      </c>
      <c r="B285" s="241" t="str">
        <f>_xlfn.XLOOKUP($A285,'(backend scoring)'!$V$2:$V$333,'(backend scoring)'!$A$2:$A$333,"")</f>
        <v/>
      </c>
      <c r="C285" s="241" t="str">
        <f>IFERROR(VLOOKUP($B285,'Institution Evaluation'!$A$55:$F$345,2,0),IFERROR(VLOOKUP($B285,'Privacy Analyst Evaluation'!$A$46:$F$120,2,0),""))&amp;""</f>
        <v/>
      </c>
      <c r="D285" s="241" t="str">
        <f>IFERROR(VLOOKUP($B285,'Institution Evaluation'!$A$55:$F$345,3,0),IFERROR(VLOOKUP($B285,'Privacy Analyst Evaluation'!$A$46:$F$120,3,0),""))&amp;""</f>
        <v/>
      </c>
      <c r="E285" s="241" t="str">
        <f>IFERROR(VLOOKUP($B285,'Institution Evaluation'!$A$55:$F$345,4,0),IFERROR(VLOOKUP($B285,'Privacy Analyst Evaluation'!$A$46:$F$120,4,0),""))&amp;""</f>
        <v/>
      </c>
      <c r="F285" s="241" t="str">
        <f>IFERROR(VLOOKUP($B285,'Institution Evaluation'!$A$55:$F$345,6,0),IFERROR(VLOOKUP($B285,'Privacy Analyst Evaluation'!$A$46:$F$120,6,0),""))&amp;""</f>
        <v/>
      </c>
      <c r="G285" s="242"/>
      <c r="H285" s="241" t="str">
        <f>IFERROR(IF($H284+1&gt;'(backend scoring)'!$Q$335,"",$H284+1),"")</f>
        <v/>
      </c>
      <c r="I285" s="241" t="str">
        <f>_xlfn.XLOOKUP($H285,'(backend scoring)'!$S$2:$S$333,'(backend scoring)'!$A$2:$A$333,"")</f>
        <v/>
      </c>
      <c r="J285" s="241" t="str">
        <f>IFERROR(VLOOKUP($I285,'Institution Evaluation'!$A$55:$F$345,2,0),IFERROR(VLOOKUP($I285,'Privacy Analyst Evaluation'!$A$46:$F$120,2,0),""))</f>
        <v/>
      </c>
      <c r="K285" s="241" t="str">
        <f>IFERROR(VLOOKUP($I285,'Institution Evaluation'!$A$55:$F$345,3,0),IFERROR(VLOOKUP($I285,'Privacy Analyst Evaluation'!$A$46:$F$120,3,0),""))&amp;""</f>
        <v/>
      </c>
      <c r="L285" s="241" t="str">
        <f>IFERROR(VLOOKUP($I285,'Institution Evaluation'!$A$55:$F$345,4,0),IFERROR(VLOOKUP($I285,'Privacy Analyst Evaluation'!$A$46:$F$120,4,0),""))&amp;""</f>
        <v/>
      </c>
      <c r="M285" s="241" t="str">
        <f>IFERROR(VLOOKUP($I285,'Institution Evaluation'!$A$55:$F$345,6,0),IFERROR(VLOOKUP($I285,'Privacy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ht="17" x14ac:dyDescent="0.2">
      <c r="A286" s="241" t="str">
        <f>IFERROR(IF($A285+1&gt;'(backend scoring)'!$T$335,"",$A285+1),"")</f>
        <v/>
      </c>
      <c r="B286" s="241" t="str">
        <f>_xlfn.XLOOKUP($A286,'(backend scoring)'!$V$2:$V$333,'(backend scoring)'!$A$2:$A$333,"")</f>
        <v/>
      </c>
      <c r="C286" s="241" t="str">
        <f>IFERROR(VLOOKUP($B286,'Institution Evaluation'!$A$55:$F$345,2,0),IFERROR(VLOOKUP($B286,'Privacy Analyst Evaluation'!$A$46:$F$120,2,0),""))&amp;""</f>
        <v/>
      </c>
      <c r="D286" s="241" t="str">
        <f>IFERROR(VLOOKUP($B286,'Institution Evaluation'!$A$55:$F$345,3,0),IFERROR(VLOOKUP($B286,'Privacy Analyst Evaluation'!$A$46:$F$120,3,0),""))&amp;""</f>
        <v/>
      </c>
      <c r="E286" s="241" t="str">
        <f>IFERROR(VLOOKUP($B286,'Institution Evaluation'!$A$55:$F$345,4,0),IFERROR(VLOOKUP($B286,'Privacy Analyst Evaluation'!$A$46:$F$120,4,0),""))&amp;""</f>
        <v/>
      </c>
      <c r="F286" s="241" t="str">
        <f>IFERROR(VLOOKUP($B286,'Institution Evaluation'!$A$55:$F$345,6,0),IFERROR(VLOOKUP($B286,'Privacy Analyst Evaluation'!$A$46:$F$120,6,0),""))&amp;""</f>
        <v/>
      </c>
      <c r="G286" s="242"/>
      <c r="H286" s="241" t="str">
        <f>IFERROR(IF($H285+1&gt;'(backend scoring)'!$Q$335,"",$H285+1),"")</f>
        <v/>
      </c>
      <c r="I286" s="241" t="str">
        <f>_xlfn.XLOOKUP($H286,'(backend scoring)'!$S$2:$S$333,'(backend scoring)'!$A$2:$A$333,"")</f>
        <v/>
      </c>
      <c r="J286" s="241" t="str">
        <f>IFERROR(VLOOKUP($I286,'Institution Evaluation'!$A$55:$F$345,2,0),IFERROR(VLOOKUP($I286,'Privacy Analyst Evaluation'!$A$46:$F$120,2,0),""))</f>
        <v/>
      </c>
      <c r="K286" s="241" t="str">
        <f>IFERROR(VLOOKUP($I286,'Institution Evaluation'!$A$55:$F$345,3,0),IFERROR(VLOOKUP($I286,'Privacy Analyst Evaluation'!$A$46:$F$120,3,0),""))&amp;""</f>
        <v/>
      </c>
      <c r="L286" s="241" t="str">
        <f>IFERROR(VLOOKUP($I286,'Institution Evaluation'!$A$55:$F$345,4,0),IFERROR(VLOOKUP($I286,'Privacy Analyst Evaluation'!$A$46:$F$120,4,0),""))&amp;""</f>
        <v/>
      </c>
      <c r="M286" s="241" t="str">
        <f>IFERROR(VLOOKUP($I286,'Institution Evaluation'!$A$55:$F$345,6,0),IFERROR(VLOOKUP($I286,'Privacy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ht="17" x14ac:dyDescent="0.2">
      <c r="A287" s="241" t="str">
        <f>IFERROR(IF($A286+1&gt;'(backend scoring)'!$T$335,"",$A286+1),"")</f>
        <v/>
      </c>
      <c r="B287" s="241" t="str">
        <f>_xlfn.XLOOKUP($A287,'(backend scoring)'!$V$2:$V$333,'(backend scoring)'!$A$2:$A$333,"")</f>
        <v/>
      </c>
      <c r="C287" s="241" t="str">
        <f>IFERROR(VLOOKUP($B287,'Institution Evaluation'!$A$55:$F$345,2,0),IFERROR(VLOOKUP($B287,'Privacy Analyst Evaluation'!$A$46:$F$120,2,0),""))&amp;""</f>
        <v/>
      </c>
      <c r="D287" s="241" t="str">
        <f>IFERROR(VLOOKUP($B287,'Institution Evaluation'!$A$55:$F$345,3,0),IFERROR(VLOOKUP($B287,'Privacy Analyst Evaluation'!$A$46:$F$120,3,0),""))&amp;""</f>
        <v/>
      </c>
      <c r="E287" s="241" t="str">
        <f>IFERROR(VLOOKUP($B287,'Institution Evaluation'!$A$55:$F$345,4,0),IFERROR(VLOOKUP($B287,'Privacy Analyst Evaluation'!$A$46:$F$120,4,0),""))&amp;""</f>
        <v/>
      </c>
      <c r="F287" s="241" t="str">
        <f>IFERROR(VLOOKUP($B287,'Institution Evaluation'!$A$55:$F$345,6,0),IFERROR(VLOOKUP($B287,'Privacy Analyst Evaluation'!$A$46:$F$120,6,0),""))&amp;""</f>
        <v/>
      </c>
      <c r="G287" s="242"/>
      <c r="H287" s="241" t="str">
        <f>IFERROR(IF($H286+1&gt;'(backend scoring)'!$Q$335,"",$H286+1),"")</f>
        <v/>
      </c>
      <c r="I287" s="241" t="str">
        <f>_xlfn.XLOOKUP($H287,'(backend scoring)'!$S$2:$S$333,'(backend scoring)'!$A$2:$A$333,"")</f>
        <v/>
      </c>
      <c r="J287" s="241" t="str">
        <f>IFERROR(VLOOKUP($I287,'Institution Evaluation'!$A$55:$F$345,2,0),IFERROR(VLOOKUP($I287,'Privacy Analyst Evaluation'!$A$46:$F$120,2,0),""))</f>
        <v/>
      </c>
      <c r="K287" s="241" t="str">
        <f>IFERROR(VLOOKUP($I287,'Institution Evaluation'!$A$55:$F$345,3,0),IFERROR(VLOOKUP($I287,'Privacy Analyst Evaluation'!$A$46:$F$120,3,0),""))&amp;""</f>
        <v/>
      </c>
      <c r="L287" s="241" t="str">
        <f>IFERROR(VLOOKUP($I287,'Institution Evaluation'!$A$55:$F$345,4,0),IFERROR(VLOOKUP($I287,'Privacy Analyst Evaluation'!$A$46:$F$120,4,0),""))&amp;""</f>
        <v/>
      </c>
      <c r="M287" s="241" t="str">
        <f>IFERROR(VLOOKUP($I287,'Institution Evaluation'!$A$55:$F$345,6,0),IFERROR(VLOOKUP($I287,'Privacy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ht="17" x14ac:dyDescent="0.2">
      <c r="A288" s="241" t="str">
        <f>IFERROR(IF($A287+1&gt;'(backend scoring)'!$T$335,"",$A287+1),"")</f>
        <v/>
      </c>
      <c r="B288" s="241" t="str">
        <f>_xlfn.XLOOKUP($A288,'(backend scoring)'!$V$2:$V$333,'(backend scoring)'!$A$2:$A$333,"")</f>
        <v/>
      </c>
      <c r="C288" s="241" t="str">
        <f>IFERROR(VLOOKUP($B288,'Institution Evaluation'!$A$55:$F$345,2,0),IFERROR(VLOOKUP($B288,'Privacy Analyst Evaluation'!$A$46:$F$120,2,0),""))&amp;""</f>
        <v/>
      </c>
      <c r="D288" s="241" t="str">
        <f>IFERROR(VLOOKUP($B288,'Institution Evaluation'!$A$55:$F$345,3,0),IFERROR(VLOOKUP($B288,'Privacy Analyst Evaluation'!$A$46:$F$120,3,0),""))&amp;""</f>
        <v/>
      </c>
      <c r="E288" s="241" t="str">
        <f>IFERROR(VLOOKUP($B288,'Institution Evaluation'!$A$55:$F$345,4,0),IFERROR(VLOOKUP($B288,'Privacy Analyst Evaluation'!$A$46:$F$120,4,0),""))&amp;""</f>
        <v/>
      </c>
      <c r="F288" s="241" t="str">
        <f>IFERROR(VLOOKUP($B288,'Institution Evaluation'!$A$55:$F$345,6,0),IFERROR(VLOOKUP($B288,'Privacy Analyst Evaluation'!$A$46:$F$120,6,0),""))&amp;""</f>
        <v/>
      </c>
      <c r="G288" s="242"/>
      <c r="H288" s="241" t="str">
        <f>IFERROR(IF($H287+1&gt;'(backend scoring)'!$Q$335,"",$H287+1),"")</f>
        <v/>
      </c>
      <c r="I288" s="241" t="str">
        <f>_xlfn.XLOOKUP($H288,'(backend scoring)'!$S$2:$S$333,'(backend scoring)'!$A$2:$A$333,"")</f>
        <v/>
      </c>
      <c r="J288" s="241" t="str">
        <f>IFERROR(VLOOKUP($I288,'Institution Evaluation'!$A$55:$F$345,2,0),IFERROR(VLOOKUP($I288,'Privacy Analyst Evaluation'!$A$46:$F$120,2,0),""))</f>
        <v/>
      </c>
      <c r="K288" s="241" t="str">
        <f>IFERROR(VLOOKUP($I288,'Institution Evaluation'!$A$55:$F$345,3,0),IFERROR(VLOOKUP($I288,'Privacy Analyst Evaluation'!$A$46:$F$120,3,0),""))&amp;""</f>
        <v/>
      </c>
      <c r="L288" s="241" t="str">
        <f>IFERROR(VLOOKUP($I288,'Institution Evaluation'!$A$55:$F$345,4,0),IFERROR(VLOOKUP($I288,'Privacy Analyst Evaluation'!$A$46:$F$120,4,0),""))&amp;""</f>
        <v/>
      </c>
      <c r="M288" s="241" t="str">
        <f>IFERROR(VLOOKUP($I288,'Institution Evaluation'!$A$55:$F$345,6,0),IFERROR(VLOOKUP($I288,'Privacy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ht="17" x14ac:dyDescent="0.2">
      <c r="A289" s="241" t="str">
        <f>IFERROR(IF($A288+1&gt;'(backend scoring)'!$T$335,"",$A288+1),"")</f>
        <v/>
      </c>
      <c r="B289" s="241" t="str">
        <f>_xlfn.XLOOKUP($A289,'(backend scoring)'!$V$2:$V$333,'(backend scoring)'!$A$2:$A$333,"")</f>
        <v/>
      </c>
      <c r="C289" s="241" t="str">
        <f>IFERROR(VLOOKUP($B289,'Institution Evaluation'!$A$55:$F$345,2,0),IFERROR(VLOOKUP($B289,'Privacy Analyst Evaluation'!$A$46:$F$120,2,0),""))&amp;""</f>
        <v/>
      </c>
      <c r="D289" s="241" t="str">
        <f>IFERROR(VLOOKUP($B289,'Institution Evaluation'!$A$55:$F$345,3,0),IFERROR(VLOOKUP($B289,'Privacy Analyst Evaluation'!$A$46:$F$120,3,0),""))&amp;""</f>
        <v/>
      </c>
      <c r="E289" s="241" t="str">
        <f>IFERROR(VLOOKUP($B289,'Institution Evaluation'!$A$55:$F$345,4,0),IFERROR(VLOOKUP($B289,'Privacy Analyst Evaluation'!$A$46:$F$120,4,0),""))&amp;""</f>
        <v/>
      </c>
      <c r="F289" s="241" t="str">
        <f>IFERROR(VLOOKUP($B289,'Institution Evaluation'!$A$55:$F$345,6,0),IFERROR(VLOOKUP($B289,'Privacy Analyst Evaluation'!$A$46:$F$120,6,0),""))&amp;""</f>
        <v/>
      </c>
      <c r="G289" s="242"/>
      <c r="H289" s="241" t="str">
        <f>IFERROR(IF($H288+1&gt;'(backend scoring)'!$Q$335,"",$H288+1),"")</f>
        <v/>
      </c>
      <c r="I289" s="241" t="str">
        <f>_xlfn.XLOOKUP($H289,'(backend scoring)'!$S$2:$S$333,'(backend scoring)'!$A$2:$A$333,"")</f>
        <v/>
      </c>
      <c r="J289" s="241" t="str">
        <f>IFERROR(VLOOKUP($I289,'Institution Evaluation'!$A$55:$F$345,2,0),IFERROR(VLOOKUP($I289,'Privacy Analyst Evaluation'!$A$46:$F$120,2,0),""))</f>
        <v/>
      </c>
      <c r="K289" s="241" t="str">
        <f>IFERROR(VLOOKUP($I289,'Institution Evaluation'!$A$55:$F$345,3,0),IFERROR(VLOOKUP($I289,'Privacy Analyst Evaluation'!$A$46:$F$120,3,0),""))&amp;""</f>
        <v/>
      </c>
      <c r="L289" s="241" t="str">
        <f>IFERROR(VLOOKUP($I289,'Institution Evaluation'!$A$55:$F$345,4,0),IFERROR(VLOOKUP($I289,'Privacy Analyst Evaluation'!$A$46:$F$120,4,0),""))&amp;""</f>
        <v/>
      </c>
      <c r="M289" s="241" t="str">
        <f>IFERROR(VLOOKUP($I289,'Institution Evaluation'!$A$55:$F$345,6,0),IFERROR(VLOOKUP($I289,'Privacy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ht="17" x14ac:dyDescent="0.2">
      <c r="A290" s="241" t="str">
        <f>IFERROR(IF($A289+1&gt;'(backend scoring)'!$T$335,"",$A289+1),"")</f>
        <v/>
      </c>
      <c r="B290" s="241" t="str">
        <f>_xlfn.XLOOKUP($A290,'(backend scoring)'!$V$2:$V$333,'(backend scoring)'!$A$2:$A$333,"")</f>
        <v/>
      </c>
      <c r="C290" s="241" t="str">
        <f>IFERROR(VLOOKUP($B290,'Institution Evaluation'!$A$55:$F$345,2,0),IFERROR(VLOOKUP($B290,'Privacy Analyst Evaluation'!$A$46:$F$120,2,0),""))&amp;""</f>
        <v/>
      </c>
      <c r="D290" s="241" t="str">
        <f>IFERROR(VLOOKUP($B290,'Institution Evaluation'!$A$55:$F$345,3,0),IFERROR(VLOOKUP($B290,'Privacy Analyst Evaluation'!$A$46:$F$120,3,0),""))&amp;""</f>
        <v/>
      </c>
      <c r="E290" s="241" t="str">
        <f>IFERROR(VLOOKUP($B290,'Institution Evaluation'!$A$55:$F$345,4,0),IFERROR(VLOOKUP($B290,'Privacy Analyst Evaluation'!$A$46:$F$120,4,0),""))&amp;""</f>
        <v/>
      </c>
      <c r="F290" s="241" t="str">
        <f>IFERROR(VLOOKUP($B290,'Institution Evaluation'!$A$55:$F$345,6,0),IFERROR(VLOOKUP($B290,'Privacy Analyst Evaluation'!$A$46:$F$120,6,0),""))&amp;""</f>
        <v/>
      </c>
      <c r="G290" s="242"/>
      <c r="H290" s="241" t="str">
        <f>IFERROR(IF($H289+1&gt;'(backend scoring)'!$Q$335,"",$H289+1),"")</f>
        <v/>
      </c>
      <c r="I290" s="241" t="str">
        <f>_xlfn.XLOOKUP($H290,'(backend scoring)'!$S$2:$S$333,'(backend scoring)'!$A$2:$A$333,"")</f>
        <v/>
      </c>
      <c r="J290" s="241" t="str">
        <f>IFERROR(VLOOKUP($I290,'Institution Evaluation'!$A$55:$F$345,2,0),IFERROR(VLOOKUP($I290,'Privacy Analyst Evaluation'!$A$46:$F$120,2,0),""))</f>
        <v/>
      </c>
      <c r="K290" s="241" t="str">
        <f>IFERROR(VLOOKUP($I290,'Institution Evaluation'!$A$55:$F$345,3,0),IFERROR(VLOOKUP($I290,'Privacy Analyst Evaluation'!$A$46:$F$120,3,0),""))&amp;""</f>
        <v/>
      </c>
      <c r="L290" s="241" t="str">
        <f>IFERROR(VLOOKUP($I290,'Institution Evaluation'!$A$55:$F$345,4,0),IFERROR(VLOOKUP($I290,'Privacy Analyst Evaluation'!$A$46:$F$120,4,0),""))&amp;""</f>
        <v/>
      </c>
      <c r="M290" s="241" t="str">
        <f>IFERROR(VLOOKUP($I290,'Institution Evaluation'!$A$55:$F$345,6,0),IFERROR(VLOOKUP($I290,'Privacy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ht="17" x14ac:dyDescent="0.2">
      <c r="A291" s="241" t="str">
        <f>IFERROR(IF($A290+1&gt;'(backend scoring)'!$T$335,"",$A290+1),"")</f>
        <v/>
      </c>
      <c r="B291" s="241" t="str">
        <f>_xlfn.XLOOKUP($A291,'(backend scoring)'!$V$2:$V$333,'(backend scoring)'!$A$2:$A$333,"")</f>
        <v/>
      </c>
      <c r="C291" s="241" t="str">
        <f>IFERROR(VLOOKUP($B291,'Institution Evaluation'!$A$55:$F$345,2,0),IFERROR(VLOOKUP($B291,'Privacy Analyst Evaluation'!$A$46:$F$120,2,0),""))&amp;""</f>
        <v/>
      </c>
      <c r="D291" s="241" t="str">
        <f>IFERROR(VLOOKUP($B291,'Institution Evaluation'!$A$55:$F$345,3,0),IFERROR(VLOOKUP($B291,'Privacy Analyst Evaluation'!$A$46:$F$120,3,0),""))&amp;""</f>
        <v/>
      </c>
      <c r="E291" s="241" t="str">
        <f>IFERROR(VLOOKUP($B291,'Institution Evaluation'!$A$55:$F$345,4,0),IFERROR(VLOOKUP($B291,'Privacy Analyst Evaluation'!$A$46:$F$120,4,0),""))&amp;""</f>
        <v/>
      </c>
      <c r="F291" s="241" t="str">
        <f>IFERROR(VLOOKUP($B291,'Institution Evaluation'!$A$55:$F$345,6,0),IFERROR(VLOOKUP($B291,'Privacy Analyst Evaluation'!$A$46:$F$120,6,0),""))&amp;""</f>
        <v/>
      </c>
      <c r="G291" s="242"/>
      <c r="H291" s="241" t="str">
        <f>IFERROR(IF($H290+1&gt;'(backend scoring)'!$Q$335,"",$H290+1),"")</f>
        <v/>
      </c>
      <c r="I291" s="241" t="str">
        <f>_xlfn.XLOOKUP($H291,'(backend scoring)'!$S$2:$S$333,'(backend scoring)'!$A$2:$A$333,"")</f>
        <v/>
      </c>
      <c r="J291" s="241" t="str">
        <f>IFERROR(VLOOKUP($I291,'Institution Evaluation'!$A$55:$F$345,2,0),IFERROR(VLOOKUP($I291,'Privacy Analyst Evaluation'!$A$46:$F$120,2,0),""))</f>
        <v/>
      </c>
      <c r="K291" s="241" t="str">
        <f>IFERROR(VLOOKUP($I291,'Institution Evaluation'!$A$55:$F$345,3,0),IFERROR(VLOOKUP($I291,'Privacy Analyst Evaluation'!$A$46:$F$120,3,0),""))&amp;""</f>
        <v/>
      </c>
      <c r="L291" s="241" t="str">
        <f>IFERROR(VLOOKUP($I291,'Institution Evaluation'!$A$55:$F$345,4,0),IFERROR(VLOOKUP($I291,'Privacy Analyst Evaluation'!$A$46:$F$120,4,0),""))&amp;""</f>
        <v/>
      </c>
      <c r="M291" s="241" t="str">
        <f>IFERROR(VLOOKUP($I291,'Institution Evaluation'!$A$55:$F$345,6,0),IFERROR(VLOOKUP($I291,'Privacy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ht="17" x14ac:dyDescent="0.2">
      <c r="A292" s="241" t="str">
        <f>IFERROR(IF($A291+1&gt;'(backend scoring)'!$T$335,"",$A291+1),"")</f>
        <v/>
      </c>
      <c r="B292" s="241" t="str">
        <f>_xlfn.XLOOKUP($A292,'(backend scoring)'!$V$2:$V$333,'(backend scoring)'!$A$2:$A$333,"")</f>
        <v/>
      </c>
      <c r="C292" s="241" t="str">
        <f>IFERROR(VLOOKUP($B292,'Institution Evaluation'!$A$55:$F$345,2,0),IFERROR(VLOOKUP($B292,'Privacy Analyst Evaluation'!$A$46:$F$120,2,0),""))&amp;""</f>
        <v/>
      </c>
      <c r="D292" s="241" t="str">
        <f>IFERROR(VLOOKUP($B292,'Institution Evaluation'!$A$55:$F$345,3,0),IFERROR(VLOOKUP($B292,'Privacy Analyst Evaluation'!$A$46:$F$120,3,0),""))&amp;""</f>
        <v/>
      </c>
      <c r="E292" s="241" t="str">
        <f>IFERROR(VLOOKUP($B292,'Institution Evaluation'!$A$55:$F$345,4,0),IFERROR(VLOOKUP($B292,'Privacy Analyst Evaluation'!$A$46:$F$120,4,0),""))&amp;""</f>
        <v/>
      </c>
      <c r="F292" s="241" t="str">
        <f>IFERROR(VLOOKUP($B292,'Institution Evaluation'!$A$55:$F$345,6,0),IFERROR(VLOOKUP($B292,'Privacy Analyst Evaluation'!$A$46:$F$120,6,0),""))&amp;""</f>
        <v/>
      </c>
      <c r="G292" s="242"/>
      <c r="H292" s="241" t="str">
        <f>IFERROR(IF($H291+1&gt;'(backend scoring)'!$Q$335,"",$H291+1),"")</f>
        <v/>
      </c>
      <c r="I292" s="241" t="str">
        <f>_xlfn.XLOOKUP($H292,'(backend scoring)'!$S$2:$S$333,'(backend scoring)'!$A$2:$A$333,"")</f>
        <v/>
      </c>
      <c r="J292" s="241" t="str">
        <f>IFERROR(VLOOKUP($I292,'Institution Evaluation'!$A$55:$F$345,2,0),IFERROR(VLOOKUP($I292,'Privacy Analyst Evaluation'!$A$46:$F$120,2,0),""))</f>
        <v/>
      </c>
      <c r="K292" s="241" t="str">
        <f>IFERROR(VLOOKUP($I292,'Institution Evaluation'!$A$55:$F$345,3,0),IFERROR(VLOOKUP($I292,'Privacy Analyst Evaluation'!$A$46:$F$120,3,0),""))&amp;""</f>
        <v/>
      </c>
      <c r="L292" s="241" t="str">
        <f>IFERROR(VLOOKUP($I292,'Institution Evaluation'!$A$55:$F$345,4,0),IFERROR(VLOOKUP($I292,'Privacy Analyst Evaluation'!$A$46:$F$120,4,0),""))&amp;""</f>
        <v/>
      </c>
      <c r="M292" s="241" t="str">
        <f>IFERROR(VLOOKUP($I292,'Institution Evaluation'!$A$55:$F$345,6,0),IFERROR(VLOOKUP($I292,'Privacy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ht="17" x14ac:dyDescent="0.2">
      <c r="A293" s="241" t="str">
        <f>IFERROR(IF($A292+1&gt;'(backend scoring)'!$T$335,"",$A292+1),"")</f>
        <v/>
      </c>
      <c r="B293" s="241" t="str">
        <f>_xlfn.XLOOKUP($A293,'(backend scoring)'!$V$2:$V$333,'(backend scoring)'!$A$2:$A$333,"")</f>
        <v/>
      </c>
      <c r="C293" s="241" t="str">
        <f>IFERROR(VLOOKUP($B293,'Institution Evaluation'!$A$55:$F$345,2,0),IFERROR(VLOOKUP($B293,'Privacy Analyst Evaluation'!$A$46:$F$120,2,0),""))&amp;""</f>
        <v/>
      </c>
      <c r="D293" s="241" t="str">
        <f>IFERROR(VLOOKUP($B293,'Institution Evaluation'!$A$55:$F$345,3,0),IFERROR(VLOOKUP($B293,'Privacy Analyst Evaluation'!$A$46:$F$120,3,0),""))&amp;""</f>
        <v/>
      </c>
      <c r="E293" s="241" t="str">
        <f>IFERROR(VLOOKUP($B293,'Institution Evaluation'!$A$55:$F$345,4,0),IFERROR(VLOOKUP($B293,'Privacy Analyst Evaluation'!$A$46:$F$120,4,0),""))&amp;""</f>
        <v/>
      </c>
      <c r="F293" s="241" t="str">
        <f>IFERROR(VLOOKUP($B293,'Institution Evaluation'!$A$55:$F$345,6,0),IFERROR(VLOOKUP($B293,'Privacy Analyst Evaluation'!$A$46:$F$120,6,0),""))&amp;""</f>
        <v/>
      </c>
      <c r="G293" s="242"/>
      <c r="H293" s="241" t="str">
        <f>IFERROR(IF($H292+1&gt;'(backend scoring)'!$Q$335,"",$H292+1),"")</f>
        <v/>
      </c>
      <c r="I293" s="241" t="str">
        <f>_xlfn.XLOOKUP($H293,'(backend scoring)'!$S$2:$S$333,'(backend scoring)'!$A$2:$A$333,"")</f>
        <v/>
      </c>
      <c r="J293" s="241" t="str">
        <f>IFERROR(VLOOKUP($I293,'Institution Evaluation'!$A$55:$F$345,2,0),IFERROR(VLOOKUP($I293,'Privacy Analyst Evaluation'!$A$46:$F$120,2,0),""))</f>
        <v/>
      </c>
      <c r="K293" s="241" t="str">
        <f>IFERROR(VLOOKUP($I293,'Institution Evaluation'!$A$55:$F$345,3,0),IFERROR(VLOOKUP($I293,'Privacy Analyst Evaluation'!$A$46:$F$120,3,0),""))&amp;""</f>
        <v/>
      </c>
      <c r="L293" s="241" t="str">
        <f>IFERROR(VLOOKUP($I293,'Institution Evaluation'!$A$55:$F$345,4,0),IFERROR(VLOOKUP($I293,'Privacy Analyst Evaluation'!$A$46:$F$120,4,0),""))&amp;""</f>
        <v/>
      </c>
      <c r="M293" s="241" t="str">
        <f>IFERROR(VLOOKUP($I293,'Institution Evaluation'!$A$55:$F$345,6,0),IFERROR(VLOOKUP($I293,'Privacy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ht="17" x14ac:dyDescent="0.2">
      <c r="A294" s="241" t="str">
        <f>IFERROR(IF($A293+1&gt;'(backend scoring)'!$T$335,"",$A293+1),"")</f>
        <v/>
      </c>
      <c r="B294" s="241" t="str">
        <f>_xlfn.XLOOKUP($A294,'(backend scoring)'!$V$2:$V$333,'(backend scoring)'!$A$2:$A$333,"")</f>
        <v/>
      </c>
      <c r="C294" s="241" t="str">
        <f>IFERROR(VLOOKUP($B294,'Institution Evaluation'!$A$55:$F$345,2,0),IFERROR(VLOOKUP($B294,'Privacy Analyst Evaluation'!$A$46:$F$120,2,0),""))&amp;""</f>
        <v/>
      </c>
      <c r="D294" s="241" t="str">
        <f>IFERROR(VLOOKUP($B294,'Institution Evaluation'!$A$55:$F$345,3,0),IFERROR(VLOOKUP($B294,'Privacy Analyst Evaluation'!$A$46:$F$120,3,0),""))&amp;""</f>
        <v/>
      </c>
      <c r="E294" s="241" t="str">
        <f>IFERROR(VLOOKUP($B294,'Institution Evaluation'!$A$55:$F$345,4,0),IFERROR(VLOOKUP($B294,'Privacy Analyst Evaluation'!$A$46:$F$120,4,0),""))&amp;""</f>
        <v/>
      </c>
      <c r="F294" s="241" t="str">
        <f>IFERROR(VLOOKUP($B294,'Institution Evaluation'!$A$55:$F$345,6,0),IFERROR(VLOOKUP($B294,'Privacy Analyst Evaluation'!$A$46:$F$120,6,0),""))&amp;""</f>
        <v/>
      </c>
      <c r="G294" s="242"/>
      <c r="H294" s="241" t="str">
        <f>IFERROR(IF($H293+1&gt;'(backend scoring)'!$Q$335,"",$H293+1),"")</f>
        <v/>
      </c>
      <c r="I294" s="241" t="str">
        <f>_xlfn.XLOOKUP($H294,'(backend scoring)'!$S$2:$S$333,'(backend scoring)'!$A$2:$A$333,"")</f>
        <v/>
      </c>
      <c r="J294" s="241" t="str">
        <f>IFERROR(VLOOKUP($I294,'Institution Evaluation'!$A$55:$F$345,2,0),IFERROR(VLOOKUP($I294,'Privacy Analyst Evaluation'!$A$46:$F$120,2,0),""))</f>
        <v/>
      </c>
      <c r="K294" s="241" t="str">
        <f>IFERROR(VLOOKUP($I294,'Institution Evaluation'!$A$55:$F$345,3,0),IFERROR(VLOOKUP($I294,'Privacy Analyst Evaluation'!$A$46:$F$120,3,0),""))&amp;""</f>
        <v/>
      </c>
      <c r="L294" s="241" t="str">
        <f>IFERROR(VLOOKUP($I294,'Institution Evaluation'!$A$55:$F$345,4,0),IFERROR(VLOOKUP($I294,'Privacy Analyst Evaluation'!$A$46:$F$120,4,0),""))&amp;""</f>
        <v/>
      </c>
      <c r="M294" s="241" t="str">
        <f>IFERROR(VLOOKUP($I294,'Institution Evaluation'!$A$55:$F$345,6,0),IFERROR(VLOOKUP($I294,'Privacy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ht="17" x14ac:dyDescent="0.2">
      <c r="A295" s="241" t="str">
        <f>IFERROR(IF($A294+1&gt;'(backend scoring)'!$T$335,"",$A294+1),"")</f>
        <v/>
      </c>
      <c r="B295" s="241" t="str">
        <f>_xlfn.XLOOKUP($A295,'(backend scoring)'!$V$2:$V$333,'(backend scoring)'!$A$2:$A$333,"")</f>
        <v/>
      </c>
      <c r="C295" s="241" t="str">
        <f>IFERROR(VLOOKUP($B295,'Institution Evaluation'!$A$55:$F$345,2,0),IFERROR(VLOOKUP($B295,'Privacy Analyst Evaluation'!$A$46:$F$120,2,0),""))&amp;""</f>
        <v/>
      </c>
      <c r="D295" s="241" t="str">
        <f>IFERROR(VLOOKUP($B295,'Institution Evaluation'!$A$55:$F$345,3,0),IFERROR(VLOOKUP($B295,'Privacy Analyst Evaluation'!$A$46:$F$120,3,0),""))&amp;""</f>
        <v/>
      </c>
      <c r="E295" s="241" t="str">
        <f>IFERROR(VLOOKUP($B295,'Institution Evaluation'!$A$55:$F$345,4,0),IFERROR(VLOOKUP($B295,'Privacy Analyst Evaluation'!$A$46:$F$120,4,0),""))&amp;""</f>
        <v/>
      </c>
      <c r="F295" s="241" t="str">
        <f>IFERROR(VLOOKUP($B295,'Institution Evaluation'!$A$55:$F$345,6,0),IFERROR(VLOOKUP($B295,'Privacy Analyst Evaluation'!$A$46:$F$120,6,0),""))&amp;""</f>
        <v/>
      </c>
      <c r="G295" s="242"/>
      <c r="H295" s="241" t="str">
        <f>IFERROR(IF($H294+1&gt;'(backend scoring)'!$Q$335,"",$H294+1),"")</f>
        <v/>
      </c>
      <c r="I295" s="241" t="str">
        <f>_xlfn.XLOOKUP($H295,'(backend scoring)'!$S$2:$S$333,'(backend scoring)'!$A$2:$A$333,"")</f>
        <v/>
      </c>
      <c r="J295" s="241" t="str">
        <f>IFERROR(VLOOKUP($I295,'Institution Evaluation'!$A$55:$F$345,2,0),IFERROR(VLOOKUP($I295,'Privacy Analyst Evaluation'!$A$46:$F$120,2,0),""))</f>
        <v/>
      </c>
      <c r="K295" s="241" t="str">
        <f>IFERROR(VLOOKUP($I295,'Institution Evaluation'!$A$55:$F$345,3,0),IFERROR(VLOOKUP($I295,'Privacy Analyst Evaluation'!$A$46:$F$120,3,0),""))&amp;""</f>
        <v/>
      </c>
      <c r="L295" s="241" t="str">
        <f>IFERROR(VLOOKUP($I295,'Institution Evaluation'!$A$55:$F$345,4,0),IFERROR(VLOOKUP($I295,'Privacy Analyst Evaluation'!$A$46:$F$120,4,0),""))&amp;""</f>
        <v/>
      </c>
      <c r="M295" s="241" t="str">
        <f>IFERROR(VLOOKUP($I295,'Institution Evaluation'!$A$55:$F$345,6,0),IFERROR(VLOOKUP($I295,'Privacy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ht="17" x14ac:dyDescent="0.2">
      <c r="A296" s="241" t="str">
        <f>IFERROR(IF($A295+1&gt;'(backend scoring)'!$T$335,"",$A295+1),"")</f>
        <v/>
      </c>
      <c r="B296" s="241" t="str">
        <f>_xlfn.XLOOKUP($A296,'(backend scoring)'!$V$2:$V$333,'(backend scoring)'!$A$2:$A$333,"")</f>
        <v/>
      </c>
      <c r="C296" s="241" t="str">
        <f>IFERROR(VLOOKUP($B296,'Institution Evaluation'!$A$55:$F$345,2,0),IFERROR(VLOOKUP($B296,'Privacy Analyst Evaluation'!$A$46:$F$120,2,0),""))&amp;""</f>
        <v/>
      </c>
      <c r="D296" s="241" t="str">
        <f>IFERROR(VLOOKUP($B296,'Institution Evaluation'!$A$55:$F$345,3,0),IFERROR(VLOOKUP($B296,'Privacy Analyst Evaluation'!$A$46:$F$120,3,0),""))&amp;""</f>
        <v/>
      </c>
      <c r="E296" s="241" t="str">
        <f>IFERROR(VLOOKUP($B296,'Institution Evaluation'!$A$55:$F$345,4,0),IFERROR(VLOOKUP($B296,'Privacy Analyst Evaluation'!$A$46:$F$120,4,0),""))&amp;""</f>
        <v/>
      </c>
      <c r="F296" s="241" t="str">
        <f>IFERROR(VLOOKUP($B296,'Institution Evaluation'!$A$55:$F$345,6,0),IFERROR(VLOOKUP($B296,'Privacy Analyst Evaluation'!$A$46:$F$120,6,0),""))&amp;""</f>
        <v/>
      </c>
      <c r="G296" s="242"/>
      <c r="H296" s="241" t="str">
        <f>IFERROR(IF($H295+1&gt;'(backend scoring)'!$Q$335,"",$H295+1),"")</f>
        <v/>
      </c>
      <c r="I296" s="241" t="str">
        <f>_xlfn.XLOOKUP($H296,'(backend scoring)'!$S$2:$S$333,'(backend scoring)'!$A$2:$A$333,"")</f>
        <v/>
      </c>
      <c r="J296" s="241" t="str">
        <f>IFERROR(VLOOKUP($I296,'Institution Evaluation'!$A$55:$F$345,2,0),IFERROR(VLOOKUP($I296,'Privacy Analyst Evaluation'!$A$46:$F$120,2,0),""))</f>
        <v/>
      </c>
      <c r="K296" s="241" t="str">
        <f>IFERROR(VLOOKUP($I296,'Institution Evaluation'!$A$55:$F$345,3,0),IFERROR(VLOOKUP($I296,'Privacy Analyst Evaluation'!$A$46:$F$120,3,0),""))&amp;""</f>
        <v/>
      </c>
      <c r="L296" s="241" t="str">
        <f>IFERROR(VLOOKUP($I296,'Institution Evaluation'!$A$55:$F$345,4,0),IFERROR(VLOOKUP($I296,'Privacy Analyst Evaluation'!$A$46:$F$120,4,0),""))&amp;""</f>
        <v/>
      </c>
      <c r="M296" s="241" t="str">
        <f>IFERROR(VLOOKUP($I296,'Institution Evaluation'!$A$55:$F$345,6,0),IFERROR(VLOOKUP($I296,'Privacy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ht="17" x14ac:dyDescent="0.2">
      <c r="A297" s="241" t="str">
        <f>IFERROR(IF($A296+1&gt;'(backend scoring)'!$T$335,"",$A296+1),"")</f>
        <v/>
      </c>
      <c r="B297" s="241" t="str">
        <f>_xlfn.XLOOKUP($A297,'(backend scoring)'!$V$2:$V$333,'(backend scoring)'!$A$2:$A$333,"")</f>
        <v/>
      </c>
      <c r="C297" s="241" t="str">
        <f>IFERROR(VLOOKUP($B297,'Institution Evaluation'!$A$55:$F$345,2,0),IFERROR(VLOOKUP($B297,'Privacy Analyst Evaluation'!$A$46:$F$120,2,0),""))&amp;""</f>
        <v/>
      </c>
      <c r="D297" s="241" t="str">
        <f>IFERROR(VLOOKUP($B297,'Institution Evaluation'!$A$55:$F$345,3,0),IFERROR(VLOOKUP($B297,'Privacy Analyst Evaluation'!$A$46:$F$120,3,0),""))&amp;""</f>
        <v/>
      </c>
      <c r="E297" s="241" t="str">
        <f>IFERROR(VLOOKUP($B297,'Institution Evaluation'!$A$55:$F$345,4,0),IFERROR(VLOOKUP($B297,'Privacy Analyst Evaluation'!$A$46:$F$120,4,0),""))&amp;""</f>
        <v/>
      </c>
      <c r="F297" s="241" t="str">
        <f>IFERROR(VLOOKUP($B297,'Institution Evaluation'!$A$55:$F$345,6,0),IFERROR(VLOOKUP($B297,'Privacy Analyst Evaluation'!$A$46:$F$120,6,0),""))&amp;""</f>
        <v/>
      </c>
      <c r="G297" s="242"/>
      <c r="H297" s="241" t="str">
        <f>IFERROR(IF($H296+1&gt;'(backend scoring)'!$Q$335,"",$H296+1),"")</f>
        <v/>
      </c>
      <c r="I297" s="241" t="str">
        <f>_xlfn.XLOOKUP($H297,'(backend scoring)'!$S$2:$S$333,'(backend scoring)'!$A$2:$A$333,"")</f>
        <v/>
      </c>
      <c r="J297" s="241" t="str">
        <f>IFERROR(VLOOKUP($I297,'Institution Evaluation'!$A$55:$F$345,2,0),IFERROR(VLOOKUP($I297,'Privacy Analyst Evaluation'!$A$46:$F$120,2,0),""))</f>
        <v/>
      </c>
      <c r="K297" s="241" t="str">
        <f>IFERROR(VLOOKUP($I297,'Institution Evaluation'!$A$55:$F$345,3,0),IFERROR(VLOOKUP($I297,'Privacy Analyst Evaluation'!$A$46:$F$120,3,0),""))&amp;""</f>
        <v/>
      </c>
      <c r="L297" s="241" t="str">
        <f>IFERROR(VLOOKUP($I297,'Institution Evaluation'!$A$55:$F$345,4,0),IFERROR(VLOOKUP($I297,'Privacy Analyst Evaluation'!$A$46:$F$120,4,0),""))&amp;""</f>
        <v/>
      </c>
      <c r="M297" s="241" t="str">
        <f>IFERROR(VLOOKUP($I297,'Institution Evaluation'!$A$55:$F$345,6,0),IFERROR(VLOOKUP($I297,'Privacy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ht="17" x14ac:dyDescent="0.2">
      <c r="A298" s="241" t="str">
        <f>IFERROR(IF($A297+1&gt;'(backend scoring)'!$T$335,"",$A297+1),"")</f>
        <v/>
      </c>
      <c r="B298" s="241" t="str">
        <f>_xlfn.XLOOKUP($A298,'(backend scoring)'!$V$2:$V$333,'(backend scoring)'!$A$2:$A$333,"")</f>
        <v/>
      </c>
      <c r="C298" s="241" t="str">
        <f>IFERROR(VLOOKUP($B298,'Institution Evaluation'!$A$55:$F$345,2,0),IFERROR(VLOOKUP($B298,'Privacy Analyst Evaluation'!$A$46:$F$120,2,0),""))&amp;""</f>
        <v/>
      </c>
      <c r="D298" s="241" t="str">
        <f>IFERROR(VLOOKUP($B298,'Institution Evaluation'!$A$55:$F$345,3,0),IFERROR(VLOOKUP($B298,'Privacy Analyst Evaluation'!$A$46:$F$120,3,0),""))&amp;""</f>
        <v/>
      </c>
      <c r="E298" s="241" t="str">
        <f>IFERROR(VLOOKUP($B298,'Institution Evaluation'!$A$55:$F$345,4,0),IFERROR(VLOOKUP($B298,'Privacy Analyst Evaluation'!$A$46:$F$120,4,0),""))&amp;""</f>
        <v/>
      </c>
      <c r="F298" s="241" t="str">
        <f>IFERROR(VLOOKUP($B298,'Institution Evaluation'!$A$55:$F$345,6,0),IFERROR(VLOOKUP($B298,'Privacy Analyst Evaluation'!$A$46:$F$120,6,0),""))&amp;""</f>
        <v/>
      </c>
      <c r="G298" s="242"/>
      <c r="H298" s="241" t="str">
        <f>IFERROR(IF($H297+1&gt;'(backend scoring)'!$Q$335,"",$H297+1),"")</f>
        <v/>
      </c>
      <c r="I298" s="241" t="str">
        <f>_xlfn.XLOOKUP($H298,'(backend scoring)'!$S$2:$S$333,'(backend scoring)'!$A$2:$A$333,"")</f>
        <v/>
      </c>
      <c r="J298" s="241" t="str">
        <f>IFERROR(VLOOKUP($I298,'Institution Evaluation'!$A$55:$F$345,2,0),IFERROR(VLOOKUP($I298,'Privacy Analyst Evaluation'!$A$46:$F$120,2,0),""))</f>
        <v/>
      </c>
      <c r="K298" s="241" t="str">
        <f>IFERROR(VLOOKUP($I298,'Institution Evaluation'!$A$55:$F$345,3,0),IFERROR(VLOOKUP($I298,'Privacy Analyst Evaluation'!$A$46:$F$120,3,0),""))&amp;""</f>
        <v/>
      </c>
      <c r="L298" s="241" t="str">
        <f>IFERROR(VLOOKUP($I298,'Institution Evaluation'!$A$55:$F$345,4,0),IFERROR(VLOOKUP($I298,'Privacy Analyst Evaluation'!$A$46:$F$120,4,0),""))&amp;""</f>
        <v/>
      </c>
      <c r="M298" s="241" t="str">
        <f>IFERROR(VLOOKUP($I298,'Institution Evaluation'!$A$55:$F$345,6,0),IFERROR(VLOOKUP($I298,'Privacy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ht="17" x14ac:dyDescent="0.2">
      <c r="A299" s="241" t="str">
        <f>IFERROR(IF($A298+1&gt;'(backend scoring)'!$T$335,"",$A298+1),"")</f>
        <v/>
      </c>
      <c r="B299" s="241" t="str">
        <f>_xlfn.XLOOKUP($A299,'(backend scoring)'!$V$2:$V$333,'(backend scoring)'!$A$2:$A$333,"")</f>
        <v/>
      </c>
      <c r="C299" s="241" t="str">
        <f>IFERROR(VLOOKUP($B299,'Institution Evaluation'!$A$55:$F$345,2,0),IFERROR(VLOOKUP($B299,'Privacy Analyst Evaluation'!$A$46:$F$120,2,0),""))&amp;""</f>
        <v/>
      </c>
      <c r="D299" s="241" t="str">
        <f>IFERROR(VLOOKUP($B299,'Institution Evaluation'!$A$55:$F$345,3,0),IFERROR(VLOOKUP($B299,'Privacy Analyst Evaluation'!$A$46:$F$120,3,0),""))&amp;""</f>
        <v/>
      </c>
      <c r="E299" s="241" t="str">
        <f>IFERROR(VLOOKUP($B299,'Institution Evaluation'!$A$55:$F$345,4,0),IFERROR(VLOOKUP($B299,'Privacy Analyst Evaluation'!$A$46:$F$120,4,0),""))&amp;""</f>
        <v/>
      </c>
      <c r="F299" s="241" t="str">
        <f>IFERROR(VLOOKUP($B299,'Institution Evaluation'!$A$55:$F$345,6,0),IFERROR(VLOOKUP($B299,'Privacy Analyst Evaluation'!$A$46:$F$120,6,0),""))&amp;""</f>
        <v/>
      </c>
      <c r="G299" s="242"/>
      <c r="H299" s="241" t="str">
        <f>IFERROR(IF($H298+1&gt;'(backend scoring)'!$Q$335,"",$H298+1),"")</f>
        <v/>
      </c>
      <c r="I299" s="241" t="str">
        <f>_xlfn.XLOOKUP($H299,'(backend scoring)'!$S$2:$S$333,'(backend scoring)'!$A$2:$A$333,"")</f>
        <v/>
      </c>
      <c r="J299" s="241" t="str">
        <f>IFERROR(VLOOKUP($I299,'Institution Evaluation'!$A$55:$F$345,2,0),IFERROR(VLOOKUP($I299,'Privacy Analyst Evaluation'!$A$46:$F$120,2,0),""))</f>
        <v/>
      </c>
      <c r="K299" s="241" t="str">
        <f>IFERROR(VLOOKUP($I299,'Institution Evaluation'!$A$55:$F$345,3,0),IFERROR(VLOOKUP($I299,'Privacy Analyst Evaluation'!$A$46:$F$120,3,0),""))&amp;""</f>
        <v/>
      </c>
      <c r="L299" s="241" t="str">
        <f>IFERROR(VLOOKUP($I299,'Institution Evaluation'!$A$55:$F$345,4,0),IFERROR(VLOOKUP($I299,'Privacy Analyst Evaluation'!$A$46:$F$120,4,0),""))&amp;""</f>
        <v/>
      </c>
      <c r="M299" s="241" t="str">
        <f>IFERROR(VLOOKUP($I299,'Institution Evaluation'!$A$55:$F$345,6,0),IFERROR(VLOOKUP($I299,'Privacy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ht="17" x14ac:dyDescent="0.2">
      <c r="A300" s="241" t="str">
        <f>IFERROR(IF($A299+1&gt;'(backend scoring)'!$T$335,"",$A299+1),"")</f>
        <v/>
      </c>
      <c r="B300" s="241" t="str">
        <f>_xlfn.XLOOKUP($A300,'(backend scoring)'!$V$2:$V$333,'(backend scoring)'!$A$2:$A$333,"")</f>
        <v/>
      </c>
      <c r="C300" s="241" t="str">
        <f>IFERROR(VLOOKUP($B300,'Institution Evaluation'!$A$55:$F$345,2,0),IFERROR(VLOOKUP($B300,'Privacy Analyst Evaluation'!$A$46:$F$120,2,0),""))&amp;""</f>
        <v/>
      </c>
      <c r="D300" s="241" t="str">
        <f>IFERROR(VLOOKUP($B300,'Institution Evaluation'!$A$55:$F$345,3,0),IFERROR(VLOOKUP($B300,'Privacy Analyst Evaluation'!$A$46:$F$120,3,0),""))&amp;""</f>
        <v/>
      </c>
      <c r="E300" s="241" t="str">
        <f>IFERROR(VLOOKUP($B300,'Institution Evaluation'!$A$55:$F$345,4,0),IFERROR(VLOOKUP($B300,'Privacy Analyst Evaluation'!$A$46:$F$120,4,0),""))&amp;""</f>
        <v/>
      </c>
      <c r="F300" s="241" t="str">
        <f>IFERROR(VLOOKUP($B300,'Institution Evaluation'!$A$55:$F$345,6,0),IFERROR(VLOOKUP($B300,'Privacy Analyst Evaluation'!$A$46:$F$120,6,0),""))&amp;""</f>
        <v/>
      </c>
      <c r="G300" s="242"/>
      <c r="H300" s="241" t="str">
        <f>IFERROR(IF($H299+1&gt;'(backend scoring)'!$Q$335,"",$H299+1),"")</f>
        <v/>
      </c>
      <c r="I300" s="241" t="str">
        <f>_xlfn.XLOOKUP($H300,'(backend scoring)'!$S$2:$S$333,'(backend scoring)'!$A$2:$A$333,"")</f>
        <v/>
      </c>
      <c r="J300" s="241" t="str">
        <f>IFERROR(VLOOKUP($I300,'Institution Evaluation'!$A$55:$F$345,2,0),IFERROR(VLOOKUP($I300,'Privacy Analyst Evaluation'!$A$46:$F$120,2,0),""))</f>
        <v/>
      </c>
      <c r="K300" s="241" t="str">
        <f>IFERROR(VLOOKUP($I300,'Institution Evaluation'!$A$55:$F$345,3,0),IFERROR(VLOOKUP($I300,'Privacy Analyst Evaluation'!$A$46:$F$120,3,0),""))&amp;""</f>
        <v/>
      </c>
      <c r="L300" s="241" t="str">
        <f>IFERROR(VLOOKUP($I300,'Institution Evaluation'!$A$55:$F$345,4,0),IFERROR(VLOOKUP($I300,'Privacy Analyst Evaluation'!$A$46:$F$120,4,0),""))&amp;""</f>
        <v/>
      </c>
      <c r="M300" s="241" t="str">
        <f>IFERROR(VLOOKUP($I300,'Institution Evaluation'!$A$55:$F$345,6,0),IFERROR(VLOOKUP($I300,'Privacy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ht="17" x14ac:dyDescent="0.2">
      <c r="A301" s="241" t="str">
        <f>IFERROR(IF($A300+1&gt;'(backend scoring)'!$T$335,"",$A300+1),"")</f>
        <v/>
      </c>
      <c r="B301" s="241" t="str">
        <f>_xlfn.XLOOKUP($A301,'(backend scoring)'!$V$2:$V$333,'(backend scoring)'!$A$2:$A$333,"")</f>
        <v/>
      </c>
      <c r="C301" s="241" t="str">
        <f>IFERROR(VLOOKUP($B301,'Institution Evaluation'!$A$55:$F$345,2,0),IFERROR(VLOOKUP($B301,'Privacy Analyst Evaluation'!$A$46:$F$120,2,0),""))&amp;""</f>
        <v/>
      </c>
      <c r="D301" s="241" t="str">
        <f>IFERROR(VLOOKUP($B301,'Institution Evaluation'!$A$55:$F$345,3,0),IFERROR(VLOOKUP($B301,'Privacy Analyst Evaluation'!$A$46:$F$120,3,0),""))&amp;""</f>
        <v/>
      </c>
      <c r="E301" s="241" t="str">
        <f>IFERROR(VLOOKUP($B301,'Institution Evaluation'!$A$55:$F$345,4,0),IFERROR(VLOOKUP($B301,'Privacy Analyst Evaluation'!$A$46:$F$120,4,0),""))&amp;""</f>
        <v/>
      </c>
      <c r="F301" s="241" t="str">
        <f>IFERROR(VLOOKUP($B301,'Institution Evaluation'!$A$55:$F$345,6,0),IFERROR(VLOOKUP($B301,'Privacy Analyst Evaluation'!$A$46:$F$120,6,0),""))&amp;""</f>
        <v/>
      </c>
      <c r="G301" s="242"/>
      <c r="H301" s="241" t="str">
        <f>IFERROR(IF($H300+1&gt;'(backend scoring)'!$Q$335,"",$H300+1),"")</f>
        <v/>
      </c>
      <c r="I301" s="241" t="str">
        <f>_xlfn.XLOOKUP($H301,'(backend scoring)'!$S$2:$S$333,'(backend scoring)'!$A$2:$A$333,"")</f>
        <v/>
      </c>
      <c r="J301" s="241" t="str">
        <f>IFERROR(VLOOKUP($I301,'Institution Evaluation'!$A$55:$F$345,2,0),IFERROR(VLOOKUP($I301,'Privacy Analyst Evaluation'!$A$46:$F$120,2,0),""))</f>
        <v/>
      </c>
      <c r="K301" s="241" t="str">
        <f>IFERROR(VLOOKUP($I301,'Institution Evaluation'!$A$55:$F$345,3,0),IFERROR(VLOOKUP($I301,'Privacy Analyst Evaluation'!$A$46:$F$120,3,0),""))&amp;""</f>
        <v/>
      </c>
      <c r="L301" s="241" t="str">
        <f>IFERROR(VLOOKUP($I301,'Institution Evaluation'!$A$55:$F$345,4,0),IFERROR(VLOOKUP($I301,'Privacy Analyst Evaluation'!$A$46:$F$120,4,0),""))&amp;""</f>
        <v/>
      </c>
      <c r="M301" s="241" t="str">
        <f>IFERROR(VLOOKUP($I301,'Institution Evaluation'!$A$55:$F$345,6,0),IFERROR(VLOOKUP($I301,'Privacy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ht="17" x14ac:dyDescent="0.2">
      <c r="A302" s="241" t="str">
        <f>IFERROR(IF($A301+1&gt;'(backend scoring)'!$T$335,"",$A301+1),"")</f>
        <v/>
      </c>
      <c r="B302" s="241" t="str">
        <f>_xlfn.XLOOKUP($A302,'(backend scoring)'!$V$2:$V$333,'(backend scoring)'!$A$2:$A$333,"")</f>
        <v/>
      </c>
      <c r="C302" s="241" t="str">
        <f>IFERROR(VLOOKUP($B302,'Institution Evaluation'!$A$55:$F$345,2,0),IFERROR(VLOOKUP($B302,'Privacy Analyst Evaluation'!$A$46:$F$120,2,0),""))&amp;""</f>
        <v/>
      </c>
      <c r="D302" s="241" t="str">
        <f>IFERROR(VLOOKUP($B302,'Institution Evaluation'!$A$55:$F$345,3,0),IFERROR(VLOOKUP($B302,'Privacy Analyst Evaluation'!$A$46:$F$120,3,0),""))&amp;""</f>
        <v/>
      </c>
      <c r="E302" s="241" t="str">
        <f>IFERROR(VLOOKUP($B302,'Institution Evaluation'!$A$55:$F$345,4,0),IFERROR(VLOOKUP($B302,'Privacy Analyst Evaluation'!$A$46:$F$120,4,0),""))&amp;""</f>
        <v/>
      </c>
      <c r="F302" s="241" t="str">
        <f>IFERROR(VLOOKUP($B302,'Institution Evaluation'!$A$55:$F$345,6,0),IFERROR(VLOOKUP($B302,'Privacy Analyst Evaluation'!$A$46:$F$120,6,0),""))&amp;""</f>
        <v/>
      </c>
      <c r="G302" s="242"/>
      <c r="H302" s="241" t="str">
        <f>IFERROR(IF($H301+1&gt;'(backend scoring)'!$Q$335,"",$H301+1),"")</f>
        <v/>
      </c>
      <c r="I302" s="241" t="str">
        <f>_xlfn.XLOOKUP($H302,'(backend scoring)'!$S$2:$S$333,'(backend scoring)'!$A$2:$A$333,"")</f>
        <v/>
      </c>
      <c r="J302" s="241" t="str">
        <f>IFERROR(VLOOKUP($I302,'Institution Evaluation'!$A$55:$F$345,2,0),IFERROR(VLOOKUP($I302,'Privacy Analyst Evaluation'!$A$46:$F$120,2,0),""))</f>
        <v/>
      </c>
      <c r="K302" s="241" t="str">
        <f>IFERROR(VLOOKUP($I302,'Institution Evaluation'!$A$55:$F$345,3,0),IFERROR(VLOOKUP($I302,'Privacy Analyst Evaluation'!$A$46:$F$120,3,0),""))&amp;""</f>
        <v/>
      </c>
      <c r="L302" s="241" t="str">
        <f>IFERROR(VLOOKUP($I302,'Institution Evaluation'!$A$55:$F$345,4,0),IFERROR(VLOOKUP($I302,'Privacy Analyst Evaluation'!$A$46:$F$120,4,0),""))&amp;""</f>
        <v/>
      </c>
      <c r="M302" s="241" t="str">
        <f>IFERROR(VLOOKUP($I302,'Institution Evaluation'!$A$55:$F$345,6,0),IFERROR(VLOOKUP($I302,'Privacy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ht="17" x14ac:dyDescent="0.2">
      <c r="A303" s="241" t="str">
        <f>IFERROR(IF($A302+1&gt;'(backend scoring)'!$T$335,"",$A302+1),"")</f>
        <v/>
      </c>
      <c r="B303" s="241" t="str">
        <f>_xlfn.XLOOKUP($A303,'(backend scoring)'!$V$2:$V$333,'(backend scoring)'!$A$2:$A$333,"")</f>
        <v/>
      </c>
      <c r="C303" s="241" t="str">
        <f>IFERROR(VLOOKUP($B303,'Institution Evaluation'!$A$55:$F$345,2,0),IFERROR(VLOOKUP($B303,'Privacy Analyst Evaluation'!$A$46:$F$120,2,0),""))&amp;""</f>
        <v/>
      </c>
      <c r="D303" s="241" t="str">
        <f>IFERROR(VLOOKUP($B303,'Institution Evaluation'!$A$55:$F$345,3,0),IFERROR(VLOOKUP($B303,'Privacy Analyst Evaluation'!$A$46:$F$120,3,0),""))&amp;""</f>
        <v/>
      </c>
      <c r="E303" s="241" t="str">
        <f>IFERROR(VLOOKUP($B303,'Institution Evaluation'!$A$55:$F$345,4,0),IFERROR(VLOOKUP($B303,'Privacy Analyst Evaluation'!$A$46:$F$120,4,0),""))&amp;""</f>
        <v/>
      </c>
      <c r="F303" s="241" t="str">
        <f>IFERROR(VLOOKUP($B303,'Institution Evaluation'!$A$55:$F$345,6,0),IFERROR(VLOOKUP($B303,'Privacy Analyst Evaluation'!$A$46:$F$120,6,0),""))&amp;""</f>
        <v/>
      </c>
      <c r="G303" s="242"/>
      <c r="H303" s="241" t="str">
        <f>IFERROR(IF($H302+1&gt;'(backend scoring)'!$Q$335,"",$H302+1),"")</f>
        <v/>
      </c>
      <c r="I303" s="241" t="str">
        <f>_xlfn.XLOOKUP($H303,'(backend scoring)'!$S$2:$S$333,'(backend scoring)'!$A$2:$A$333,"")</f>
        <v/>
      </c>
      <c r="J303" s="241" t="str">
        <f>IFERROR(VLOOKUP($I303,'Institution Evaluation'!$A$55:$F$345,2,0),IFERROR(VLOOKUP($I303,'Privacy Analyst Evaluation'!$A$46:$F$120,2,0),""))</f>
        <v/>
      </c>
      <c r="K303" s="241" t="str">
        <f>IFERROR(VLOOKUP($I303,'Institution Evaluation'!$A$55:$F$345,3,0),IFERROR(VLOOKUP($I303,'Privacy Analyst Evaluation'!$A$46:$F$120,3,0),""))&amp;""</f>
        <v/>
      </c>
      <c r="L303" s="241" t="str">
        <f>IFERROR(VLOOKUP($I303,'Institution Evaluation'!$A$55:$F$345,4,0),IFERROR(VLOOKUP($I303,'Privacy Analyst Evaluation'!$A$46:$F$120,4,0),""))&amp;""</f>
        <v/>
      </c>
      <c r="M303" s="241" t="str">
        <f>IFERROR(VLOOKUP($I303,'Institution Evaluation'!$A$55:$F$345,6,0),IFERROR(VLOOKUP($I303,'Privacy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ht="17" x14ac:dyDescent="0.2">
      <c r="A304" s="241" t="str">
        <f>IFERROR(IF($A303+1&gt;'(backend scoring)'!$T$335,"",$A303+1),"")</f>
        <v/>
      </c>
      <c r="B304" s="241" t="str">
        <f>_xlfn.XLOOKUP($A304,'(backend scoring)'!$V$2:$V$333,'(backend scoring)'!$A$2:$A$333,"")</f>
        <v/>
      </c>
      <c r="C304" s="241" t="str">
        <f>IFERROR(VLOOKUP($B304,'Institution Evaluation'!$A$55:$F$345,2,0),IFERROR(VLOOKUP($B304,'Privacy Analyst Evaluation'!$A$46:$F$120,2,0),""))&amp;""</f>
        <v/>
      </c>
      <c r="D304" s="241" t="str">
        <f>IFERROR(VLOOKUP($B304,'Institution Evaluation'!$A$55:$F$345,3,0),IFERROR(VLOOKUP($B304,'Privacy Analyst Evaluation'!$A$46:$F$120,3,0),""))&amp;""</f>
        <v/>
      </c>
      <c r="E304" s="241" t="str">
        <f>IFERROR(VLOOKUP($B304,'Institution Evaluation'!$A$55:$F$345,4,0),IFERROR(VLOOKUP($B304,'Privacy Analyst Evaluation'!$A$46:$F$120,4,0),""))&amp;""</f>
        <v/>
      </c>
      <c r="F304" s="241" t="str">
        <f>IFERROR(VLOOKUP($B304,'Institution Evaluation'!$A$55:$F$345,6,0),IFERROR(VLOOKUP($B304,'Privacy Analyst Evaluation'!$A$46:$F$120,6,0),""))&amp;""</f>
        <v/>
      </c>
      <c r="G304" s="242"/>
      <c r="H304" s="241" t="str">
        <f>IFERROR(IF($H303+1&gt;'(backend scoring)'!$Q$335,"",$H303+1),"")</f>
        <v/>
      </c>
      <c r="I304" s="241" t="str">
        <f>_xlfn.XLOOKUP($H304,'(backend scoring)'!$S$2:$S$333,'(backend scoring)'!$A$2:$A$333,"")</f>
        <v/>
      </c>
      <c r="J304" s="241" t="str">
        <f>IFERROR(VLOOKUP($I304,'Institution Evaluation'!$A$55:$F$345,2,0),IFERROR(VLOOKUP($I304,'Privacy Analyst Evaluation'!$A$46:$F$120,2,0),""))</f>
        <v/>
      </c>
      <c r="K304" s="241" t="str">
        <f>IFERROR(VLOOKUP($I304,'Institution Evaluation'!$A$55:$F$345,3,0),IFERROR(VLOOKUP($I304,'Privacy Analyst Evaluation'!$A$46:$F$120,3,0),""))&amp;""</f>
        <v/>
      </c>
      <c r="L304" s="241" t="str">
        <f>IFERROR(VLOOKUP($I304,'Institution Evaluation'!$A$55:$F$345,4,0),IFERROR(VLOOKUP($I304,'Privacy Analyst Evaluation'!$A$46:$F$120,4,0),""))&amp;""</f>
        <v/>
      </c>
      <c r="M304" s="241" t="str">
        <f>IFERROR(VLOOKUP($I304,'Institution Evaluation'!$A$55:$F$345,6,0),IFERROR(VLOOKUP($I304,'Privacy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ht="17" x14ac:dyDescent="0.2">
      <c r="A305" s="241" t="str">
        <f>IFERROR(IF($A304+1&gt;'(backend scoring)'!$T$335,"",$A304+1),"")</f>
        <v/>
      </c>
      <c r="B305" s="241" t="str">
        <f>_xlfn.XLOOKUP($A305,'(backend scoring)'!$V$2:$V$333,'(backend scoring)'!$A$2:$A$333,"")</f>
        <v/>
      </c>
      <c r="C305" s="241" t="str">
        <f>IFERROR(VLOOKUP($B305,'Institution Evaluation'!$A$55:$F$345,2,0),IFERROR(VLOOKUP($B305,'Privacy Analyst Evaluation'!$A$46:$F$120,2,0),""))&amp;""</f>
        <v/>
      </c>
      <c r="D305" s="241" t="str">
        <f>IFERROR(VLOOKUP($B305,'Institution Evaluation'!$A$55:$F$345,3,0),IFERROR(VLOOKUP($B305,'Privacy Analyst Evaluation'!$A$46:$F$120,3,0),""))&amp;""</f>
        <v/>
      </c>
      <c r="E305" s="241" t="str">
        <f>IFERROR(VLOOKUP($B305,'Institution Evaluation'!$A$55:$F$345,4,0),IFERROR(VLOOKUP($B305,'Privacy Analyst Evaluation'!$A$46:$F$120,4,0),""))&amp;""</f>
        <v/>
      </c>
      <c r="F305" s="241" t="str">
        <f>IFERROR(VLOOKUP($B305,'Institution Evaluation'!$A$55:$F$345,6,0),IFERROR(VLOOKUP($B305,'Privacy Analyst Evaluation'!$A$46:$F$120,6,0),""))&amp;""</f>
        <v/>
      </c>
      <c r="G305" s="242"/>
      <c r="H305" s="241" t="str">
        <f>IFERROR(IF($H304+1&gt;'(backend scoring)'!$Q$335,"",$H304+1),"")</f>
        <v/>
      </c>
      <c r="I305" s="241" t="str">
        <f>_xlfn.XLOOKUP($H305,'(backend scoring)'!$S$2:$S$333,'(backend scoring)'!$A$2:$A$333,"")</f>
        <v/>
      </c>
      <c r="J305" s="241" t="str">
        <f>IFERROR(VLOOKUP($I305,'Institution Evaluation'!$A$55:$F$345,2,0),IFERROR(VLOOKUP($I305,'Privacy Analyst Evaluation'!$A$46:$F$120,2,0),""))</f>
        <v/>
      </c>
      <c r="K305" s="241" t="str">
        <f>IFERROR(VLOOKUP($I305,'Institution Evaluation'!$A$55:$F$345,3,0),IFERROR(VLOOKUP($I305,'Privacy Analyst Evaluation'!$A$46:$F$120,3,0),""))&amp;""</f>
        <v/>
      </c>
      <c r="L305" s="241" t="str">
        <f>IFERROR(VLOOKUP($I305,'Institution Evaluation'!$A$55:$F$345,4,0),IFERROR(VLOOKUP($I305,'Privacy Analyst Evaluation'!$A$46:$F$120,4,0),""))&amp;""</f>
        <v/>
      </c>
      <c r="M305" s="241" t="str">
        <f>IFERROR(VLOOKUP($I305,'Institution Evaluation'!$A$55:$F$345,6,0),IFERROR(VLOOKUP($I305,'Privacy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ht="17" x14ac:dyDescent="0.2">
      <c r="A306" s="241" t="str">
        <f>IFERROR(IF($A305+1&gt;'(backend scoring)'!$T$335,"",$A305+1),"")</f>
        <v/>
      </c>
      <c r="B306" s="241" t="str">
        <f>_xlfn.XLOOKUP($A306,'(backend scoring)'!$V$2:$V$333,'(backend scoring)'!$A$2:$A$333,"")</f>
        <v/>
      </c>
      <c r="C306" s="241" t="str">
        <f>IFERROR(VLOOKUP($B306,'Institution Evaluation'!$A$55:$F$345,2,0),IFERROR(VLOOKUP($B306,'Privacy Analyst Evaluation'!$A$46:$F$120,2,0),""))&amp;""</f>
        <v/>
      </c>
      <c r="D306" s="241" t="str">
        <f>IFERROR(VLOOKUP($B306,'Institution Evaluation'!$A$55:$F$345,3,0),IFERROR(VLOOKUP($B306,'Privacy Analyst Evaluation'!$A$46:$F$120,3,0),""))&amp;""</f>
        <v/>
      </c>
      <c r="E306" s="241" t="str">
        <f>IFERROR(VLOOKUP($B306,'Institution Evaluation'!$A$55:$F$345,4,0),IFERROR(VLOOKUP($B306,'Privacy Analyst Evaluation'!$A$46:$F$120,4,0),""))&amp;""</f>
        <v/>
      </c>
      <c r="F306" s="241" t="str">
        <f>IFERROR(VLOOKUP($B306,'Institution Evaluation'!$A$55:$F$345,6,0),IFERROR(VLOOKUP($B306,'Privacy Analyst Evaluation'!$A$46:$F$120,6,0),""))&amp;""</f>
        <v/>
      </c>
      <c r="G306" s="242"/>
      <c r="H306" s="241" t="str">
        <f>IFERROR(IF($H305+1&gt;'(backend scoring)'!$Q$335,"",$H305+1),"")</f>
        <v/>
      </c>
      <c r="I306" s="241" t="str">
        <f>_xlfn.XLOOKUP($H306,'(backend scoring)'!$S$2:$S$333,'(backend scoring)'!$A$2:$A$333,"")</f>
        <v/>
      </c>
      <c r="J306" s="241" t="str">
        <f>IFERROR(VLOOKUP($I306,'Institution Evaluation'!$A$55:$F$345,2,0),IFERROR(VLOOKUP($I306,'Privacy Analyst Evaluation'!$A$46:$F$120,2,0),""))</f>
        <v/>
      </c>
      <c r="K306" s="241" t="str">
        <f>IFERROR(VLOOKUP($I306,'Institution Evaluation'!$A$55:$F$345,3,0),IFERROR(VLOOKUP($I306,'Privacy Analyst Evaluation'!$A$46:$F$120,3,0),""))&amp;""</f>
        <v/>
      </c>
      <c r="L306" s="241" t="str">
        <f>IFERROR(VLOOKUP($I306,'Institution Evaluation'!$A$55:$F$345,4,0),IFERROR(VLOOKUP($I306,'Privacy Analyst Evaluation'!$A$46:$F$120,4,0),""))&amp;""</f>
        <v/>
      </c>
      <c r="M306" s="241" t="str">
        <f>IFERROR(VLOOKUP($I306,'Institution Evaluation'!$A$55:$F$345,6,0),IFERROR(VLOOKUP($I306,'Privacy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ht="17" x14ac:dyDescent="0.2">
      <c r="A307" s="241" t="str">
        <f>IFERROR(IF($A306+1&gt;'(backend scoring)'!$T$335,"",$A306+1),"")</f>
        <v/>
      </c>
      <c r="B307" s="241" t="str">
        <f>_xlfn.XLOOKUP($A307,'(backend scoring)'!$V$2:$V$333,'(backend scoring)'!$A$2:$A$333,"")</f>
        <v/>
      </c>
      <c r="C307" s="241" t="str">
        <f>IFERROR(VLOOKUP($B307,'Institution Evaluation'!$A$55:$F$345,2,0),IFERROR(VLOOKUP($B307,'Privacy Analyst Evaluation'!$A$46:$F$120,2,0),""))&amp;""</f>
        <v/>
      </c>
      <c r="D307" s="241" t="str">
        <f>IFERROR(VLOOKUP($B307,'Institution Evaluation'!$A$55:$F$345,3,0),IFERROR(VLOOKUP($B307,'Privacy Analyst Evaluation'!$A$46:$F$120,3,0),""))&amp;""</f>
        <v/>
      </c>
      <c r="E307" s="241" t="str">
        <f>IFERROR(VLOOKUP($B307,'Institution Evaluation'!$A$55:$F$345,4,0),IFERROR(VLOOKUP($B307,'Privacy Analyst Evaluation'!$A$46:$F$120,4,0),""))&amp;""</f>
        <v/>
      </c>
      <c r="F307" s="241" t="str">
        <f>IFERROR(VLOOKUP($B307,'Institution Evaluation'!$A$55:$F$345,6,0),IFERROR(VLOOKUP($B307,'Privacy Analyst Evaluation'!$A$46:$F$120,6,0),""))&amp;""</f>
        <v/>
      </c>
      <c r="G307" s="242"/>
      <c r="H307" s="241" t="str">
        <f>IFERROR(IF($H306+1&gt;'(backend scoring)'!$Q$335,"",$H306+1),"")</f>
        <v/>
      </c>
      <c r="I307" s="241" t="str">
        <f>_xlfn.XLOOKUP($H307,'(backend scoring)'!$S$2:$S$333,'(backend scoring)'!$A$2:$A$333,"")</f>
        <v/>
      </c>
      <c r="J307" s="241" t="str">
        <f>IFERROR(VLOOKUP($I307,'Institution Evaluation'!$A$55:$F$345,2,0),IFERROR(VLOOKUP($I307,'Privacy Analyst Evaluation'!$A$46:$F$120,2,0),""))</f>
        <v/>
      </c>
      <c r="K307" s="241" t="str">
        <f>IFERROR(VLOOKUP($I307,'Institution Evaluation'!$A$55:$F$345,3,0),IFERROR(VLOOKUP($I307,'Privacy Analyst Evaluation'!$A$46:$F$120,3,0),""))&amp;""</f>
        <v/>
      </c>
      <c r="L307" s="241" t="str">
        <f>IFERROR(VLOOKUP($I307,'Institution Evaluation'!$A$55:$F$345,4,0),IFERROR(VLOOKUP($I307,'Privacy Analyst Evaluation'!$A$46:$F$120,4,0),""))&amp;""</f>
        <v/>
      </c>
      <c r="M307" s="241" t="str">
        <f>IFERROR(VLOOKUP($I307,'Institution Evaluation'!$A$55:$F$345,6,0),IFERROR(VLOOKUP($I307,'Privacy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ht="17" x14ac:dyDescent="0.2">
      <c r="A308" s="241" t="str">
        <f>IFERROR(IF($A307+1&gt;'(backend scoring)'!$T$335,"",$A307+1),"")</f>
        <v/>
      </c>
      <c r="B308" s="241" t="str">
        <f>_xlfn.XLOOKUP($A308,'(backend scoring)'!$V$2:$V$333,'(backend scoring)'!$A$2:$A$333,"")</f>
        <v/>
      </c>
      <c r="C308" s="241" t="str">
        <f>IFERROR(VLOOKUP($B308,'Institution Evaluation'!$A$55:$F$345,2,0),IFERROR(VLOOKUP($B308,'Privacy Analyst Evaluation'!$A$46:$F$120,2,0),""))&amp;""</f>
        <v/>
      </c>
      <c r="D308" s="241" t="str">
        <f>IFERROR(VLOOKUP($B308,'Institution Evaluation'!$A$55:$F$345,3,0),IFERROR(VLOOKUP($B308,'Privacy Analyst Evaluation'!$A$46:$F$120,3,0),""))&amp;""</f>
        <v/>
      </c>
      <c r="E308" s="241" t="str">
        <f>IFERROR(VLOOKUP($B308,'Institution Evaluation'!$A$55:$F$345,4,0),IFERROR(VLOOKUP($B308,'Privacy Analyst Evaluation'!$A$46:$F$120,4,0),""))&amp;""</f>
        <v/>
      </c>
      <c r="F308" s="241" t="str">
        <f>IFERROR(VLOOKUP($B308,'Institution Evaluation'!$A$55:$F$345,6,0),IFERROR(VLOOKUP($B308,'Privacy Analyst Evaluation'!$A$46:$F$120,6,0),""))&amp;""</f>
        <v/>
      </c>
      <c r="G308" s="242"/>
      <c r="H308" s="241" t="str">
        <f>IFERROR(IF($H307+1&gt;'(backend scoring)'!$Q$335,"",$H307+1),"")</f>
        <v/>
      </c>
      <c r="I308" s="241" t="str">
        <f>_xlfn.XLOOKUP($H308,'(backend scoring)'!$S$2:$S$333,'(backend scoring)'!$A$2:$A$333,"")</f>
        <v/>
      </c>
      <c r="J308" s="241" t="str">
        <f>IFERROR(VLOOKUP($I308,'Institution Evaluation'!$A$55:$F$345,2,0),IFERROR(VLOOKUP($I308,'Privacy Analyst Evaluation'!$A$46:$F$120,2,0),""))</f>
        <v/>
      </c>
      <c r="K308" s="241" t="str">
        <f>IFERROR(VLOOKUP($I308,'Institution Evaluation'!$A$55:$F$345,3,0),IFERROR(VLOOKUP($I308,'Privacy Analyst Evaluation'!$A$46:$F$120,3,0),""))&amp;""</f>
        <v/>
      </c>
      <c r="L308" s="241" t="str">
        <f>IFERROR(VLOOKUP($I308,'Institution Evaluation'!$A$55:$F$345,4,0),IFERROR(VLOOKUP($I308,'Privacy Analyst Evaluation'!$A$46:$F$120,4,0),""))&amp;""</f>
        <v/>
      </c>
      <c r="M308" s="241" t="str">
        <f>IFERROR(VLOOKUP($I308,'Institution Evaluation'!$A$55:$F$345,6,0),IFERROR(VLOOKUP($I308,'Privacy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ht="17" x14ac:dyDescent="0.2">
      <c r="A309" s="241" t="str">
        <f>IFERROR(IF($A308+1&gt;'(backend scoring)'!$T$335,"",$A308+1),"")</f>
        <v/>
      </c>
      <c r="B309" s="241" t="str">
        <f>_xlfn.XLOOKUP($A309,'(backend scoring)'!$V$2:$V$333,'(backend scoring)'!$A$2:$A$333,"")</f>
        <v/>
      </c>
      <c r="C309" s="241" t="str">
        <f>IFERROR(VLOOKUP($B309,'Institution Evaluation'!$A$55:$F$345,2,0),IFERROR(VLOOKUP($B309,'Privacy Analyst Evaluation'!$A$46:$F$120,2,0),""))&amp;""</f>
        <v/>
      </c>
      <c r="D309" s="241" t="str">
        <f>IFERROR(VLOOKUP($B309,'Institution Evaluation'!$A$55:$F$345,3,0),IFERROR(VLOOKUP($B309,'Privacy Analyst Evaluation'!$A$46:$F$120,3,0),""))&amp;""</f>
        <v/>
      </c>
      <c r="E309" s="241" t="str">
        <f>IFERROR(VLOOKUP($B309,'Institution Evaluation'!$A$55:$F$345,4,0),IFERROR(VLOOKUP($B309,'Privacy Analyst Evaluation'!$A$46:$F$120,4,0),""))&amp;""</f>
        <v/>
      </c>
      <c r="F309" s="241" t="str">
        <f>IFERROR(VLOOKUP($B309,'Institution Evaluation'!$A$55:$F$345,6,0),IFERROR(VLOOKUP($B309,'Privacy Analyst Evaluation'!$A$46:$F$120,6,0),""))&amp;""</f>
        <v/>
      </c>
      <c r="G309" s="242"/>
      <c r="H309" s="241" t="str">
        <f>IFERROR(IF($H308+1&gt;'(backend scoring)'!$Q$335,"",$H308+1),"")</f>
        <v/>
      </c>
      <c r="I309" s="241" t="str">
        <f>_xlfn.XLOOKUP($H309,'(backend scoring)'!$S$2:$S$333,'(backend scoring)'!$A$2:$A$333,"")</f>
        <v/>
      </c>
      <c r="J309" s="241" t="str">
        <f>IFERROR(VLOOKUP($I309,'Institution Evaluation'!$A$55:$F$345,2,0),IFERROR(VLOOKUP($I309,'Privacy Analyst Evaluation'!$A$46:$F$120,2,0),""))</f>
        <v/>
      </c>
      <c r="K309" s="241" t="str">
        <f>IFERROR(VLOOKUP($I309,'Institution Evaluation'!$A$55:$F$345,3,0),IFERROR(VLOOKUP($I309,'Privacy Analyst Evaluation'!$A$46:$F$120,3,0),""))&amp;""</f>
        <v/>
      </c>
      <c r="L309" s="241" t="str">
        <f>IFERROR(VLOOKUP($I309,'Institution Evaluation'!$A$55:$F$345,4,0),IFERROR(VLOOKUP($I309,'Privacy Analyst Evaluation'!$A$46:$F$120,4,0),""))&amp;""</f>
        <v/>
      </c>
      <c r="M309" s="241" t="str">
        <f>IFERROR(VLOOKUP($I309,'Institution Evaluation'!$A$55:$F$345,6,0),IFERROR(VLOOKUP($I309,'Privacy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ht="17" x14ac:dyDescent="0.2">
      <c r="A310" s="241" t="str">
        <f>IFERROR(IF($A309+1&gt;'(backend scoring)'!$T$335,"",$A309+1),"")</f>
        <v/>
      </c>
      <c r="B310" s="241" t="str">
        <f>_xlfn.XLOOKUP($A310,'(backend scoring)'!$V$2:$V$333,'(backend scoring)'!$A$2:$A$333,"")</f>
        <v/>
      </c>
      <c r="C310" s="241" t="str">
        <f>IFERROR(VLOOKUP($B310,'Institution Evaluation'!$A$55:$F$345,2,0),IFERROR(VLOOKUP($B310,'Privacy Analyst Evaluation'!$A$46:$F$120,2,0),""))&amp;""</f>
        <v/>
      </c>
      <c r="D310" s="241" t="str">
        <f>IFERROR(VLOOKUP($B310,'Institution Evaluation'!$A$55:$F$345,3,0),IFERROR(VLOOKUP($B310,'Privacy Analyst Evaluation'!$A$46:$F$120,3,0),""))&amp;""</f>
        <v/>
      </c>
      <c r="E310" s="241" t="str">
        <f>IFERROR(VLOOKUP($B310,'Institution Evaluation'!$A$55:$F$345,4,0),IFERROR(VLOOKUP($B310,'Privacy Analyst Evaluation'!$A$46:$F$120,4,0),""))&amp;""</f>
        <v/>
      </c>
      <c r="F310" s="241" t="str">
        <f>IFERROR(VLOOKUP($B310,'Institution Evaluation'!$A$55:$F$345,6,0),IFERROR(VLOOKUP($B310,'Privacy Analyst Evaluation'!$A$46:$F$120,6,0),""))&amp;""</f>
        <v/>
      </c>
      <c r="G310" s="242"/>
      <c r="H310" s="241" t="str">
        <f>IFERROR(IF($H309+1&gt;'(backend scoring)'!$Q$335,"",$H309+1),"")</f>
        <v/>
      </c>
      <c r="I310" s="241" t="str">
        <f>_xlfn.XLOOKUP($H310,'(backend scoring)'!$S$2:$S$333,'(backend scoring)'!$A$2:$A$333,"")</f>
        <v/>
      </c>
      <c r="J310" s="241" t="str">
        <f>IFERROR(VLOOKUP($I310,'Institution Evaluation'!$A$55:$F$345,2,0),IFERROR(VLOOKUP($I310,'Privacy Analyst Evaluation'!$A$46:$F$120,2,0),""))</f>
        <v/>
      </c>
      <c r="K310" s="241" t="str">
        <f>IFERROR(VLOOKUP($I310,'Institution Evaluation'!$A$55:$F$345,3,0),IFERROR(VLOOKUP($I310,'Privacy Analyst Evaluation'!$A$46:$F$120,3,0),""))&amp;""</f>
        <v/>
      </c>
      <c r="L310" s="241" t="str">
        <f>IFERROR(VLOOKUP($I310,'Institution Evaluation'!$A$55:$F$345,4,0),IFERROR(VLOOKUP($I310,'Privacy Analyst Evaluation'!$A$46:$F$120,4,0),""))&amp;""</f>
        <v/>
      </c>
      <c r="M310" s="241" t="str">
        <f>IFERROR(VLOOKUP($I310,'Institution Evaluation'!$A$55:$F$345,6,0),IFERROR(VLOOKUP($I310,'Privacy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ht="17" x14ac:dyDescent="0.2">
      <c r="A311" s="241" t="str">
        <f>IFERROR(IF($A310+1&gt;'(backend scoring)'!$T$335,"",$A310+1),"")</f>
        <v/>
      </c>
      <c r="B311" s="241" t="str">
        <f>_xlfn.XLOOKUP($A311,'(backend scoring)'!$V$2:$V$333,'(backend scoring)'!$A$2:$A$333,"")</f>
        <v/>
      </c>
      <c r="C311" s="241" t="str">
        <f>IFERROR(VLOOKUP($B311,'Institution Evaluation'!$A$55:$F$345,2,0),IFERROR(VLOOKUP($B311,'Privacy Analyst Evaluation'!$A$46:$F$120,2,0),""))&amp;""</f>
        <v/>
      </c>
      <c r="D311" s="241" t="str">
        <f>IFERROR(VLOOKUP($B311,'Institution Evaluation'!$A$55:$F$345,3,0),IFERROR(VLOOKUP($B311,'Privacy Analyst Evaluation'!$A$46:$F$120,3,0),""))&amp;""</f>
        <v/>
      </c>
      <c r="E311" s="241" t="str">
        <f>IFERROR(VLOOKUP($B311,'Institution Evaluation'!$A$55:$F$345,4,0),IFERROR(VLOOKUP($B311,'Privacy Analyst Evaluation'!$A$46:$F$120,4,0),""))&amp;""</f>
        <v/>
      </c>
      <c r="F311" s="241" t="str">
        <f>IFERROR(VLOOKUP($B311,'Institution Evaluation'!$A$55:$F$345,6,0),IFERROR(VLOOKUP($B311,'Privacy Analyst Evaluation'!$A$46:$F$120,6,0),""))&amp;""</f>
        <v/>
      </c>
      <c r="G311" s="242"/>
      <c r="H311" s="241" t="str">
        <f>IFERROR(IF($H310+1&gt;'(backend scoring)'!$Q$335,"",$H310+1),"")</f>
        <v/>
      </c>
      <c r="I311" s="241" t="str">
        <f>_xlfn.XLOOKUP($H311,'(backend scoring)'!$S$2:$S$333,'(backend scoring)'!$A$2:$A$333,"")</f>
        <v/>
      </c>
      <c r="J311" s="241" t="str">
        <f>IFERROR(VLOOKUP($I311,'Institution Evaluation'!$A$55:$F$345,2,0),IFERROR(VLOOKUP($I311,'Privacy Analyst Evaluation'!$A$46:$F$120,2,0),""))</f>
        <v/>
      </c>
      <c r="K311" s="241" t="str">
        <f>IFERROR(VLOOKUP($I311,'Institution Evaluation'!$A$55:$F$345,3,0),IFERROR(VLOOKUP($I311,'Privacy Analyst Evaluation'!$A$46:$F$120,3,0),""))&amp;""</f>
        <v/>
      </c>
      <c r="L311" s="241" t="str">
        <f>IFERROR(VLOOKUP($I311,'Institution Evaluation'!$A$55:$F$345,4,0),IFERROR(VLOOKUP($I311,'Privacy Analyst Evaluation'!$A$46:$F$120,4,0),""))&amp;""</f>
        <v/>
      </c>
      <c r="M311" s="241" t="str">
        <f>IFERROR(VLOOKUP($I311,'Institution Evaluation'!$A$55:$F$345,6,0),IFERROR(VLOOKUP($I311,'Privacy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ht="17" x14ac:dyDescent="0.2">
      <c r="A312" s="241" t="str">
        <f>IFERROR(IF($A311+1&gt;'(backend scoring)'!$T$335,"",$A311+1),"")</f>
        <v/>
      </c>
      <c r="B312" s="241" t="str">
        <f>_xlfn.XLOOKUP($A312,'(backend scoring)'!$V$2:$V$333,'(backend scoring)'!$A$2:$A$333,"")</f>
        <v/>
      </c>
      <c r="C312" s="241" t="str">
        <f>IFERROR(VLOOKUP($B312,'Institution Evaluation'!$A$55:$F$345,2,0),IFERROR(VLOOKUP($B312,'Privacy Analyst Evaluation'!$A$46:$F$120,2,0),""))&amp;""</f>
        <v/>
      </c>
      <c r="D312" s="241" t="str">
        <f>IFERROR(VLOOKUP($B312,'Institution Evaluation'!$A$55:$F$345,3,0),IFERROR(VLOOKUP($B312,'Privacy Analyst Evaluation'!$A$46:$F$120,3,0),""))&amp;""</f>
        <v/>
      </c>
      <c r="E312" s="241" t="str">
        <f>IFERROR(VLOOKUP($B312,'Institution Evaluation'!$A$55:$F$345,4,0),IFERROR(VLOOKUP($B312,'Privacy Analyst Evaluation'!$A$46:$F$120,4,0),""))&amp;""</f>
        <v/>
      </c>
      <c r="F312" s="241" t="str">
        <f>IFERROR(VLOOKUP($B312,'Institution Evaluation'!$A$55:$F$345,6,0),IFERROR(VLOOKUP($B312,'Privacy Analyst Evaluation'!$A$46:$F$120,6,0),""))&amp;""</f>
        <v/>
      </c>
      <c r="G312" s="242"/>
      <c r="H312" s="241" t="str">
        <f>IFERROR(IF($H311+1&gt;'(backend scoring)'!$Q$335,"",$H311+1),"")</f>
        <v/>
      </c>
      <c r="I312" s="241" t="str">
        <f>_xlfn.XLOOKUP($H312,'(backend scoring)'!$S$2:$S$333,'(backend scoring)'!$A$2:$A$333,"")</f>
        <v/>
      </c>
      <c r="J312" s="241" t="str">
        <f>IFERROR(VLOOKUP($I312,'Institution Evaluation'!$A$55:$F$345,2,0),IFERROR(VLOOKUP($I312,'Privacy Analyst Evaluation'!$A$46:$F$120,2,0),""))</f>
        <v/>
      </c>
      <c r="K312" s="241" t="str">
        <f>IFERROR(VLOOKUP($I312,'Institution Evaluation'!$A$55:$F$345,3,0),IFERROR(VLOOKUP($I312,'Privacy Analyst Evaluation'!$A$46:$F$120,3,0),""))&amp;""</f>
        <v/>
      </c>
      <c r="L312" s="241" t="str">
        <f>IFERROR(VLOOKUP($I312,'Institution Evaluation'!$A$55:$F$345,4,0),IFERROR(VLOOKUP($I312,'Privacy Analyst Evaluation'!$A$46:$F$120,4,0),""))&amp;""</f>
        <v/>
      </c>
      <c r="M312" s="241" t="str">
        <f>IFERROR(VLOOKUP($I312,'Institution Evaluation'!$A$55:$F$345,6,0),IFERROR(VLOOKUP($I312,'Privacy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ht="17" x14ac:dyDescent="0.2">
      <c r="A313" s="241" t="str">
        <f>IFERROR(IF($A312+1&gt;'(backend scoring)'!$T$335,"",$A312+1),"")</f>
        <v/>
      </c>
      <c r="B313" s="241" t="str">
        <f>_xlfn.XLOOKUP($A313,'(backend scoring)'!$V$2:$V$333,'(backend scoring)'!$A$2:$A$333,"")</f>
        <v/>
      </c>
      <c r="C313" s="241" t="str">
        <f>IFERROR(VLOOKUP($B313,'Institution Evaluation'!$A$55:$F$345,2,0),IFERROR(VLOOKUP($B313,'Privacy Analyst Evaluation'!$A$46:$F$120,2,0),""))&amp;""</f>
        <v/>
      </c>
      <c r="D313" s="241" t="str">
        <f>IFERROR(VLOOKUP($B313,'Institution Evaluation'!$A$55:$F$345,3,0),IFERROR(VLOOKUP($B313,'Privacy Analyst Evaluation'!$A$46:$F$120,3,0),""))&amp;""</f>
        <v/>
      </c>
      <c r="E313" s="241" t="str">
        <f>IFERROR(VLOOKUP($B313,'Institution Evaluation'!$A$55:$F$345,4,0),IFERROR(VLOOKUP($B313,'Privacy Analyst Evaluation'!$A$46:$F$120,4,0),""))&amp;""</f>
        <v/>
      </c>
      <c r="F313" s="241" t="str">
        <f>IFERROR(VLOOKUP($B313,'Institution Evaluation'!$A$55:$F$345,6,0),IFERROR(VLOOKUP($B313,'Privacy Analyst Evaluation'!$A$46:$F$120,6,0),""))&amp;""</f>
        <v/>
      </c>
      <c r="G313" s="242"/>
      <c r="H313" s="241" t="str">
        <f>IFERROR(IF($H312+1&gt;'(backend scoring)'!$Q$335,"",$H312+1),"")</f>
        <v/>
      </c>
      <c r="I313" s="241" t="str">
        <f>_xlfn.XLOOKUP($H313,'(backend scoring)'!$S$2:$S$333,'(backend scoring)'!$A$2:$A$333,"")</f>
        <v/>
      </c>
      <c r="J313" s="241" t="str">
        <f>IFERROR(VLOOKUP($I313,'Institution Evaluation'!$A$55:$F$345,2,0),IFERROR(VLOOKUP($I313,'Privacy Analyst Evaluation'!$A$46:$F$120,2,0),""))</f>
        <v/>
      </c>
      <c r="K313" s="241" t="str">
        <f>IFERROR(VLOOKUP($I313,'Institution Evaluation'!$A$55:$F$345,3,0),IFERROR(VLOOKUP($I313,'Privacy Analyst Evaluation'!$A$46:$F$120,3,0),""))&amp;""</f>
        <v/>
      </c>
      <c r="L313" s="241" t="str">
        <f>IFERROR(VLOOKUP($I313,'Institution Evaluation'!$A$55:$F$345,4,0),IFERROR(VLOOKUP($I313,'Privacy Analyst Evaluation'!$A$46:$F$120,4,0),""))&amp;""</f>
        <v/>
      </c>
      <c r="M313" s="241" t="str">
        <f>IFERROR(VLOOKUP($I313,'Institution Evaluation'!$A$55:$F$345,6,0),IFERROR(VLOOKUP($I313,'Privacy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ht="17" x14ac:dyDescent="0.2">
      <c r="A314" s="241" t="str">
        <f>IFERROR(IF($A313+1&gt;'(backend scoring)'!$T$335,"",$A313+1),"")</f>
        <v/>
      </c>
      <c r="B314" s="241" t="str">
        <f>_xlfn.XLOOKUP($A314,'(backend scoring)'!$V$2:$V$333,'(backend scoring)'!$A$2:$A$333,"")</f>
        <v/>
      </c>
      <c r="C314" s="241" t="str">
        <f>IFERROR(VLOOKUP($B314,'Institution Evaluation'!$A$55:$F$345,2,0),IFERROR(VLOOKUP($B314,'Privacy Analyst Evaluation'!$A$46:$F$120,2,0),""))&amp;""</f>
        <v/>
      </c>
      <c r="D314" s="241" t="str">
        <f>IFERROR(VLOOKUP($B314,'Institution Evaluation'!$A$55:$F$345,3,0),IFERROR(VLOOKUP($B314,'Privacy Analyst Evaluation'!$A$46:$F$120,3,0),""))&amp;""</f>
        <v/>
      </c>
      <c r="E314" s="241" t="str">
        <f>IFERROR(VLOOKUP($B314,'Institution Evaluation'!$A$55:$F$345,4,0),IFERROR(VLOOKUP($B314,'Privacy Analyst Evaluation'!$A$46:$F$120,4,0),""))&amp;""</f>
        <v/>
      </c>
      <c r="F314" s="241" t="str">
        <f>IFERROR(VLOOKUP($B314,'Institution Evaluation'!$A$55:$F$345,6,0),IFERROR(VLOOKUP($B314,'Privacy Analyst Evaluation'!$A$46:$F$120,6,0),""))&amp;""</f>
        <v/>
      </c>
      <c r="G314" s="242"/>
      <c r="H314" s="241" t="str">
        <f>IFERROR(IF($H313+1&gt;'(backend scoring)'!$Q$335,"",$H313+1),"")</f>
        <v/>
      </c>
      <c r="I314" s="241" t="str">
        <f>_xlfn.XLOOKUP($H314,'(backend scoring)'!$S$2:$S$333,'(backend scoring)'!$A$2:$A$333,"")</f>
        <v/>
      </c>
      <c r="J314" s="241" t="str">
        <f>IFERROR(VLOOKUP($I314,'Institution Evaluation'!$A$55:$F$345,2,0),IFERROR(VLOOKUP($I314,'Privacy Analyst Evaluation'!$A$46:$F$120,2,0),""))</f>
        <v/>
      </c>
      <c r="K314" s="241" t="str">
        <f>IFERROR(VLOOKUP($I314,'Institution Evaluation'!$A$55:$F$345,3,0),IFERROR(VLOOKUP($I314,'Privacy Analyst Evaluation'!$A$46:$F$120,3,0),""))&amp;""</f>
        <v/>
      </c>
      <c r="L314" s="241" t="str">
        <f>IFERROR(VLOOKUP($I314,'Institution Evaluation'!$A$55:$F$345,4,0),IFERROR(VLOOKUP($I314,'Privacy Analyst Evaluation'!$A$46:$F$120,4,0),""))&amp;""</f>
        <v/>
      </c>
      <c r="M314" s="241" t="str">
        <f>IFERROR(VLOOKUP($I314,'Institution Evaluation'!$A$55:$F$345,6,0),IFERROR(VLOOKUP($I314,'Privacy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ht="17" x14ac:dyDescent="0.2">
      <c r="A315" s="241" t="str">
        <f>IFERROR(IF($A314+1&gt;'(backend scoring)'!$T$335,"",$A314+1),"")</f>
        <v/>
      </c>
      <c r="B315" s="241" t="str">
        <f>_xlfn.XLOOKUP($A315,'(backend scoring)'!$V$2:$V$333,'(backend scoring)'!$A$2:$A$333,"")</f>
        <v/>
      </c>
      <c r="C315" s="241" t="str">
        <f>IFERROR(VLOOKUP($B315,'Institution Evaluation'!$A$55:$F$345,2,0),IFERROR(VLOOKUP($B315,'Privacy Analyst Evaluation'!$A$46:$F$120,2,0),""))&amp;""</f>
        <v/>
      </c>
      <c r="D315" s="241" t="str">
        <f>IFERROR(VLOOKUP($B315,'Institution Evaluation'!$A$55:$F$345,3,0),IFERROR(VLOOKUP($B315,'Privacy Analyst Evaluation'!$A$46:$F$120,3,0),""))&amp;""</f>
        <v/>
      </c>
      <c r="E315" s="241" t="str">
        <f>IFERROR(VLOOKUP($B315,'Institution Evaluation'!$A$55:$F$345,4,0),IFERROR(VLOOKUP($B315,'Privacy Analyst Evaluation'!$A$46:$F$120,4,0),""))&amp;""</f>
        <v/>
      </c>
      <c r="F315" s="241" t="str">
        <f>IFERROR(VLOOKUP($B315,'Institution Evaluation'!$A$55:$F$345,6,0),IFERROR(VLOOKUP($B315,'Privacy Analyst Evaluation'!$A$46:$F$120,6,0),""))&amp;""</f>
        <v/>
      </c>
      <c r="G315" s="242"/>
      <c r="H315" s="241" t="str">
        <f>IFERROR(IF($H314+1&gt;'(backend scoring)'!$Q$335,"",$H314+1),"")</f>
        <v/>
      </c>
      <c r="I315" s="241" t="str">
        <f>_xlfn.XLOOKUP($H315,'(backend scoring)'!$S$2:$S$333,'(backend scoring)'!$A$2:$A$333,"")</f>
        <v/>
      </c>
      <c r="J315" s="241" t="str">
        <f>IFERROR(VLOOKUP($I315,'Institution Evaluation'!$A$55:$F$345,2,0),IFERROR(VLOOKUP($I315,'Privacy Analyst Evaluation'!$A$46:$F$120,2,0),""))</f>
        <v/>
      </c>
      <c r="K315" s="241" t="str">
        <f>IFERROR(VLOOKUP($I315,'Institution Evaluation'!$A$55:$F$345,3,0),IFERROR(VLOOKUP($I315,'Privacy Analyst Evaluation'!$A$46:$F$120,3,0),""))&amp;""</f>
        <v/>
      </c>
      <c r="L315" s="241" t="str">
        <f>IFERROR(VLOOKUP($I315,'Institution Evaluation'!$A$55:$F$345,4,0),IFERROR(VLOOKUP($I315,'Privacy Analyst Evaluation'!$A$46:$F$120,4,0),""))&amp;""</f>
        <v/>
      </c>
      <c r="M315" s="241" t="str">
        <f>IFERROR(VLOOKUP($I315,'Institution Evaluation'!$A$55:$F$345,6,0),IFERROR(VLOOKUP($I315,'Privacy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ht="17" x14ac:dyDescent="0.2">
      <c r="A316" s="241" t="str">
        <f>IFERROR(IF($A315+1&gt;'(backend scoring)'!$T$335,"",$A315+1),"")</f>
        <v/>
      </c>
      <c r="B316" s="241" t="str">
        <f>_xlfn.XLOOKUP($A316,'(backend scoring)'!$V$2:$V$333,'(backend scoring)'!$A$2:$A$333,"")</f>
        <v/>
      </c>
      <c r="C316" s="241" t="str">
        <f>IFERROR(VLOOKUP($B316,'Institution Evaluation'!$A$55:$F$345,2,0),IFERROR(VLOOKUP($B316,'Privacy Analyst Evaluation'!$A$46:$F$120,2,0),""))&amp;""</f>
        <v/>
      </c>
      <c r="D316" s="241" t="str">
        <f>IFERROR(VLOOKUP($B316,'Institution Evaluation'!$A$55:$F$345,3,0),IFERROR(VLOOKUP($B316,'Privacy Analyst Evaluation'!$A$46:$F$120,3,0),""))&amp;""</f>
        <v/>
      </c>
      <c r="E316" s="241" t="str">
        <f>IFERROR(VLOOKUP($B316,'Institution Evaluation'!$A$55:$F$345,4,0),IFERROR(VLOOKUP($B316,'Privacy Analyst Evaluation'!$A$46:$F$120,4,0),""))&amp;""</f>
        <v/>
      </c>
      <c r="F316" s="241" t="str">
        <f>IFERROR(VLOOKUP($B316,'Institution Evaluation'!$A$55:$F$345,6,0),IFERROR(VLOOKUP($B316,'Privacy Analyst Evaluation'!$A$46:$F$120,6,0),""))&amp;""</f>
        <v/>
      </c>
      <c r="G316" s="242"/>
      <c r="H316" s="241" t="str">
        <f>IFERROR(IF($H315+1&gt;'(backend scoring)'!$Q$335,"",$H315+1),"")</f>
        <v/>
      </c>
      <c r="I316" s="241" t="str">
        <f>_xlfn.XLOOKUP($H316,'(backend scoring)'!$S$2:$S$333,'(backend scoring)'!$A$2:$A$333,"")</f>
        <v/>
      </c>
      <c r="J316" s="241" t="str">
        <f>IFERROR(VLOOKUP($I316,'Institution Evaluation'!$A$55:$F$345,2,0),IFERROR(VLOOKUP($I316,'Privacy Analyst Evaluation'!$A$46:$F$120,2,0),""))</f>
        <v/>
      </c>
      <c r="K316" s="241" t="str">
        <f>IFERROR(VLOOKUP($I316,'Institution Evaluation'!$A$55:$F$345,3,0),IFERROR(VLOOKUP($I316,'Privacy Analyst Evaluation'!$A$46:$F$120,3,0),""))&amp;""</f>
        <v/>
      </c>
      <c r="L316" s="241" t="str">
        <f>IFERROR(VLOOKUP($I316,'Institution Evaluation'!$A$55:$F$345,4,0),IFERROR(VLOOKUP($I316,'Privacy Analyst Evaluation'!$A$46:$F$120,4,0),""))&amp;""</f>
        <v/>
      </c>
      <c r="M316" s="241" t="str">
        <f>IFERROR(VLOOKUP($I316,'Institution Evaluation'!$A$55:$F$345,6,0),IFERROR(VLOOKUP($I316,'Privacy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ht="17" x14ac:dyDescent="0.2">
      <c r="A317" s="241" t="str">
        <f>IFERROR(IF($A316+1&gt;'(backend scoring)'!$T$335,"",$A316+1),"")</f>
        <v/>
      </c>
      <c r="B317" s="241" t="str">
        <f>_xlfn.XLOOKUP($A317,'(backend scoring)'!$V$2:$V$333,'(backend scoring)'!$A$2:$A$333,"")</f>
        <v/>
      </c>
      <c r="C317" s="241" t="str">
        <f>IFERROR(VLOOKUP($B317,'Institution Evaluation'!$A$55:$F$345,2,0),IFERROR(VLOOKUP($B317,'Privacy Analyst Evaluation'!$A$46:$F$120,2,0),""))&amp;""</f>
        <v/>
      </c>
      <c r="D317" s="241" t="str">
        <f>IFERROR(VLOOKUP($B317,'Institution Evaluation'!$A$55:$F$345,3,0),IFERROR(VLOOKUP($B317,'Privacy Analyst Evaluation'!$A$46:$F$120,3,0),""))&amp;""</f>
        <v/>
      </c>
      <c r="E317" s="241" t="str">
        <f>IFERROR(VLOOKUP($B317,'Institution Evaluation'!$A$55:$F$345,4,0),IFERROR(VLOOKUP($B317,'Privacy Analyst Evaluation'!$A$46:$F$120,4,0),""))&amp;""</f>
        <v/>
      </c>
      <c r="F317" s="241" t="str">
        <f>IFERROR(VLOOKUP($B317,'Institution Evaluation'!$A$55:$F$345,6,0),IFERROR(VLOOKUP($B317,'Privacy Analyst Evaluation'!$A$46:$F$120,6,0),""))&amp;""</f>
        <v/>
      </c>
      <c r="G317" s="242"/>
      <c r="H317" s="241" t="str">
        <f>IFERROR(IF($H316+1&gt;'(backend scoring)'!$Q$335,"",$H316+1),"")</f>
        <v/>
      </c>
      <c r="I317" s="241" t="str">
        <f>_xlfn.XLOOKUP($H317,'(backend scoring)'!$S$2:$S$333,'(backend scoring)'!$A$2:$A$333,"")</f>
        <v/>
      </c>
      <c r="J317" s="241" t="str">
        <f>IFERROR(VLOOKUP($I317,'Institution Evaluation'!$A$55:$F$345,2,0),IFERROR(VLOOKUP($I317,'Privacy Analyst Evaluation'!$A$46:$F$120,2,0),""))</f>
        <v/>
      </c>
      <c r="K317" s="241" t="str">
        <f>IFERROR(VLOOKUP($I317,'Institution Evaluation'!$A$55:$F$345,3,0),IFERROR(VLOOKUP($I317,'Privacy Analyst Evaluation'!$A$46:$F$120,3,0),""))&amp;""</f>
        <v/>
      </c>
      <c r="L317" s="241" t="str">
        <f>IFERROR(VLOOKUP($I317,'Institution Evaluation'!$A$55:$F$345,4,0),IFERROR(VLOOKUP($I317,'Privacy Analyst Evaluation'!$A$46:$F$120,4,0),""))&amp;""</f>
        <v/>
      </c>
      <c r="M317" s="241" t="str">
        <f>IFERROR(VLOOKUP($I317,'Institution Evaluation'!$A$55:$F$345,6,0),IFERROR(VLOOKUP($I317,'Privacy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ht="17" x14ac:dyDescent="0.2">
      <c r="A318" s="241" t="str">
        <f>IFERROR(IF($A317+1&gt;'(backend scoring)'!$T$335,"",$A317+1),"")</f>
        <v/>
      </c>
      <c r="B318" s="241" t="str">
        <f>_xlfn.XLOOKUP($A318,'(backend scoring)'!$V$2:$V$333,'(backend scoring)'!$A$2:$A$333,"")</f>
        <v/>
      </c>
      <c r="C318" s="241" t="str">
        <f>IFERROR(VLOOKUP($B318,'Institution Evaluation'!$A$55:$F$345,2,0),IFERROR(VLOOKUP($B318,'Privacy Analyst Evaluation'!$A$46:$F$120,2,0),""))&amp;""</f>
        <v/>
      </c>
      <c r="D318" s="241" t="str">
        <f>IFERROR(VLOOKUP($B318,'Institution Evaluation'!$A$55:$F$345,3,0),IFERROR(VLOOKUP($B318,'Privacy Analyst Evaluation'!$A$46:$F$120,3,0),""))&amp;""</f>
        <v/>
      </c>
      <c r="E318" s="241" t="str">
        <f>IFERROR(VLOOKUP($B318,'Institution Evaluation'!$A$55:$F$345,4,0),IFERROR(VLOOKUP($B318,'Privacy Analyst Evaluation'!$A$46:$F$120,4,0),""))&amp;""</f>
        <v/>
      </c>
      <c r="F318" s="241" t="str">
        <f>IFERROR(VLOOKUP($B318,'Institution Evaluation'!$A$55:$F$345,6,0),IFERROR(VLOOKUP($B318,'Privacy Analyst Evaluation'!$A$46:$F$120,6,0),""))&amp;""</f>
        <v/>
      </c>
      <c r="G318" s="242"/>
      <c r="H318" s="241" t="str">
        <f>IFERROR(IF($H317+1&gt;'(backend scoring)'!$Q$335,"",$H317+1),"")</f>
        <v/>
      </c>
      <c r="I318" s="241" t="str">
        <f>_xlfn.XLOOKUP($H318,'(backend scoring)'!$S$2:$S$333,'(backend scoring)'!$A$2:$A$333,"")</f>
        <v/>
      </c>
      <c r="J318" s="241" t="str">
        <f>IFERROR(VLOOKUP($I318,'Institution Evaluation'!$A$55:$F$345,2,0),IFERROR(VLOOKUP($I318,'Privacy Analyst Evaluation'!$A$46:$F$120,2,0),""))</f>
        <v/>
      </c>
      <c r="K318" s="241" t="str">
        <f>IFERROR(VLOOKUP($I318,'Institution Evaluation'!$A$55:$F$345,3,0),IFERROR(VLOOKUP($I318,'Privacy Analyst Evaluation'!$A$46:$F$120,3,0),""))&amp;""</f>
        <v/>
      </c>
      <c r="L318" s="241" t="str">
        <f>IFERROR(VLOOKUP($I318,'Institution Evaluation'!$A$55:$F$345,4,0),IFERROR(VLOOKUP($I318,'Privacy Analyst Evaluation'!$A$46:$F$120,4,0),""))&amp;""</f>
        <v/>
      </c>
      <c r="M318" s="241" t="str">
        <f>IFERROR(VLOOKUP($I318,'Institution Evaluation'!$A$55:$F$345,6,0),IFERROR(VLOOKUP($I318,'Privacy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ht="17" x14ac:dyDescent="0.2">
      <c r="A319" s="241" t="str">
        <f>IFERROR(IF($A318+1&gt;'(backend scoring)'!$T$335,"",$A318+1),"")</f>
        <v/>
      </c>
      <c r="B319" s="241" t="str">
        <f>_xlfn.XLOOKUP($A319,'(backend scoring)'!$V$2:$V$333,'(backend scoring)'!$A$2:$A$333,"")</f>
        <v/>
      </c>
      <c r="C319" s="241" t="str">
        <f>IFERROR(VLOOKUP($B319,'Institution Evaluation'!$A$55:$F$345,2,0),IFERROR(VLOOKUP($B319,'Privacy Analyst Evaluation'!$A$46:$F$120,2,0),""))&amp;""</f>
        <v/>
      </c>
      <c r="D319" s="241" t="str">
        <f>IFERROR(VLOOKUP($B319,'Institution Evaluation'!$A$55:$F$345,3,0),IFERROR(VLOOKUP($B319,'Privacy Analyst Evaluation'!$A$46:$F$120,3,0),""))&amp;""</f>
        <v/>
      </c>
      <c r="E319" s="241" t="str">
        <f>IFERROR(VLOOKUP($B319,'Institution Evaluation'!$A$55:$F$345,4,0),IFERROR(VLOOKUP($B319,'Privacy Analyst Evaluation'!$A$46:$F$120,4,0),""))&amp;""</f>
        <v/>
      </c>
      <c r="F319" s="241" t="str">
        <f>IFERROR(VLOOKUP($B319,'Institution Evaluation'!$A$55:$F$345,6,0),IFERROR(VLOOKUP($B319,'Privacy Analyst Evaluation'!$A$46:$F$120,6,0),""))&amp;""</f>
        <v/>
      </c>
      <c r="G319" s="242"/>
      <c r="H319" s="241" t="str">
        <f>IFERROR(IF($H318+1&gt;'(backend scoring)'!$Q$335,"",$H318+1),"")</f>
        <v/>
      </c>
      <c r="I319" s="241" t="str">
        <f>_xlfn.XLOOKUP($H319,'(backend scoring)'!$S$2:$S$333,'(backend scoring)'!$A$2:$A$333,"")</f>
        <v/>
      </c>
      <c r="J319" s="241" t="str">
        <f>IFERROR(VLOOKUP($I319,'Institution Evaluation'!$A$55:$F$345,2,0),IFERROR(VLOOKUP($I319,'Privacy Analyst Evaluation'!$A$46:$F$120,2,0),""))</f>
        <v/>
      </c>
      <c r="K319" s="241" t="str">
        <f>IFERROR(VLOOKUP($I319,'Institution Evaluation'!$A$55:$F$345,3,0),IFERROR(VLOOKUP($I319,'Privacy Analyst Evaluation'!$A$46:$F$120,3,0),""))&amp;""</f>
        <v/>
      </c>
      <c r="L319" s="241" t="str">
        <f>IFERROR(VLOOKUP($I319,'Institution Evaluation'!$A$55:$F$345,4,0),IFERROR(VLOOKUP($I319,'Privacy Analyst Evaluation'!$A$46:$F$120,4,0),""))&amp;""</f>
        <v/>
      </c>
      <c r="M319" s="241" t="str">
        <f>IFERROR(VLOOKUP($I319,'Institution Evaluation'!$A$55:$F$345,6,0),IFERROR(VLOOKUP($I319,'Privacy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ht="17" x14ac:dyDescent="0.2">
      <c r="A320" s="241" t="str">
        <f>IFERROR(IF($A319+1&gt;'(backend scoring)'!$T$335,"",$A319+1),"")</f>
        <v/>
      </c>
      <c r="B320" s="241" t="str">
        <f>_xlfn.XLOOKUP($A320,'(backend scoring)'!$V$2:$V$333,'(backend scoring)'!$A$2:$A$333,"")</f>
        <v/>
      </c>
      <c r="C320" s="241" t="str">
        <f>IFERROR(VLOOKUP($B320,'Institution Evaluation'!$A$55:$F$345,2,0),IFERROR(VLOOKUP($B320,'Privacy Analyst Evaluation'!$A$46:$F$120,2,0),""))&amp;""</f>
        <v/>
      </c>
      <c r="D320" s="241" t="str">
        <f>IFERROR(VLOOKUP($B320,'Institution Evaluation'!$A$55:$F$345,3,0),IFERROR(VLOOKUP($B320,'Privacy Analyst Evaluation'!$A$46:$F$120,3,0),""))&amp;""</f>
        <v/>
      </c>
      <c r="E320" s="241" t="str">
        <f>IFERROR(VLOOKUP($B320,'Institution Evaluation'!$A$55:$F$345,4,0),IFERROR(VLOOKUP($B320,'Privacy Analyst Evaluation'!$A$46:$F$120,4,0),""))&amp;""</f>
        <v/>
      </c>
      <c r="F320" s="241" t="str">
        <f>IFERROR(VLOOKUP($B320,'Institution Evaluation'!$A$55:$F$345,6,0),IFERROR(VLOOKUP($B320,'Privacy Analyst Evaluation'!$A$46:$F$120,6,0),""))&amp;""</f>
        <v/>
      </c>
      <c r="G320" s="242"/>
      <c r="H320" s="241" t="str">
        <f>IFERROR(IF($H319+1&gt;'(backend scoring)'!$Q$335,"",$H319+1),"")</f>
        <v/>
      </c>
      <c r="I320" s="241" t="str">
        <f>_xlfn.XLOOKUP($H320,'(backend scoring)'!$S$2:$S$333,'(backend scoring)'!$A$2:$A$333,"")</f>
        <v/>
      </c>
      <c r="J320" s="241" t="str">
        <f>IFERROR(VLOOKUP($I320,'Institution Evaluation'!$A$55:$F$345,2,0),IFERROR(VLOOKUP($I320,'Privacy Analyst Evaluation'!$A$46:$F$120,2,0),""))</f>
        <v/>
      </c>
      <c r="K320" s="241" t="str">
        <f>IFERROR(VLOOKUP($I320,'Institution Evaluation'!$A$55:$F$345,3,0),IFERROR(VLOOKUP($I320,'Privacy Analyst Evaluation'!$A$46:$F$120,3,0),""))&amp;""</f>
        <v/>
      </c>
      <c r="L320" s="241" t="str">
        <f>IFERROR(VLOOKUP($I320,'Institution Evaluation'!$A$55:$F$345,4,0),IFERROR(VLOOKUP($I320,'Privacy Analyst Evaluation'!$A$46:$F$120,4,0),""))&amp;""</f>
        <v/>
      </c>
      <c r="M320" s="241" t="str">
        <f>IFERROR(VLOOKUP($I320,'Institution Evaluation'!$A$55:$F$345,6,0),IFERROR(VLOOKUP($I320,'Privacy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ht="17" x14ac:dyDescent="0.2">
      <c r="A321" s="241" t="str">
        <f>IFERROR(IF($A320+1&gt;'(backend scoring)'!$T$335,"",$A320+1),"")</f>
        <v/>
      </c>
      <c r="B321" s="241" t="str">
        <f>_xlfn.XLOOKUP($A321,'(backend scoring)'!$V$2:$V$333,'(backend scoring)'!$A$2:$A$333,"")</f>
        <v/>
      </c>
      <c r="C321" s="241" t="str">
        <f>IFERROR(VLOOKUP($B321,'Institution Evaluation'!$A$55:$F$345,2,0),IFERROR(VLOOKUP($B321,'Privacy Analyst Evaluation'!$A$46:$F$120,2,0),""))&amp;""</f>
        <v/>
      </c>
      <c r="D321" s="241" t="str">
        <f>IFERROR(VLOOKUP($B321,'Institution Evaluation'!$A$55:$F$345,3,0),IFERROR(VLOOKUP($B321,'Privacy Analyst Evaluation'!$A$46:$F$120,3,0),""))&amp;""</f>
        <v/>
      </c>
      <c r="E321" s="241" t="str">
        <f>IFERROR(VLOOKUP($B321,'Institution Evaluation'!$A$55:$F$345,4,0),IFERROR(VLOOKUP($B321,'Privacy Analyst Evaluation'!$A$46:$F$120,4,0),""))&amp;""</f>
        <v/>
      </c>
      <c r="F321" s="241" t="str">
        <f>IFERROR(VLOOKUP($B321,'Institution Evaluation'!$A$55:$F$345,6,0),IFERROR(VLOOKUP($B321,'Privacy Analyst Evaluation'!$A$46:$F$120,6,0),""))&amp;""</f>
        <v/>
      </c>
      <c r="G321" s="242"/>
      <c r="H321" s="241" t="str">
        <f>IFERROR(IF($H320+1&gt;'(backend scoring)'!$Q$335,"",$H320+1),"")</f>
        <v/>
      </c>
      <c r="I321" s="241" t="str">
        <f>_xlfn.XLOOKUP($H321,'(backend scoring)'!$S$2:$S$333,'(backend scoring)'!$A$2:$A$333,"")</f>
        <v/>
      </c>
      <c r="J321" s="241" t="str">
        <f>IFERROR(VLOOKUP($I321,'Institution Evaluation'!$A$55:$F$345,2,0),IFERROR(VLOOKUP($I321,'Privacy Analyst Evaluation'!$A$46:$F$120,2,0),""))</f>
        <v/>
      </c>
      <c r="K321" s="241" t="str">
        <f>IFERROR(VLOOKUP($I321,'Institution Evaluation'!$A$55:$F$345,3,0),IFERROR(VLOOKUP($I321,'Privacy Analyst Evaluation'!$A$46:$F$120,3,0),""))&amp;""</f>
        <v/>
      </c>
      <c r="L321" s="241" t="str">
        <f>IFERROR(VLOOKUP($I321,'Institution Evaluation'!$A$55:$F$345,4,0),IFERROR(VLOOKUP($I321,'Privacy Analyst Evaluation'!$A$46:$F$120,4,0),""))&amp;""</f>
        <v/>
      </c>
      <c r="M321" s="241" t="str">
        <f>IFERROR(VLOOKUP($I321,'Institution Evaluation'!$A$55:$F$345,6,0),IFERROR(VLOOKUP($I321,'Privacy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ht="17" x14ac:dyDescent="0.2">
      <c r="A322" s="241" t="str">
        <f>IFERROR(IF($A321+1&gt;'(backend scoring)'!$T$335,"",$A321+1),"")</f>
        <v/>
      </c>
      <c r="B322" s="241" t="str">
        <f>_xlfn.XLOOKUP($A322,'(backend scoring)'!$V$2:$V$333,'(backend scoring)'!$A$2:$A$333,"")</f>
        <v/>
      </c>
      <c r="C322" s="241" t="str">
        <f>IFERROR(VLOOKUP($B322,'Institution Evaluation'!$A$55:$F$345,2,0),IFERROR(VLOOKUP($B322,'Privacy Analyst Evaluation'!$A$46:$F$120,2,0),""))&amp;""</f>
        <v/>
      </c>
      <c r="D322" s="241" t="str">
        <f>IFERROR(VLOOKUP($B322,'Institution Evaluation'!$A$55:$F$345,3,0),IFERROR(VLOOKUP($B322,'Privacy Analyst Evaluation'!$A$46:$F$120,3,0),""))&amp;""</f>
        <v/>
      </c>
      <c r="E322" s="241" t="str">
        <f>IFERROR(VLOOKUP($B322,'Institution Evaluation'!$A$55:$F$345,4,0),IFERROR(VLOOKUP($B322,'Privacy Analyst Evaluation'!$A$46:$F$120,4,0),""))&amp;""</f>
        <v/>
      </c>
      <c r="F322" s="241" t="str">
        <f>IFERROR(VLOOKUP($B322,'Institution Evaluation'!$A$55:$F$345,6,0),IFERROR(VLOOKUP($B322,'Privacy Analyst Evaluation'!$A$46:$F$120,6,0),""))&amp;""</f>
        <v/>
      </c>
      <c r="G322" s="242"/>
      <c r="H322" s="241" t="str">
        <f>IFERROR(IF($H321+1&gt;'(backend scoring)'!$Q$335,"",$H321+1),"")</f>
        <v/>
      </c>
      <c r="I322" s="241" t="str">
        <f>_xlfn.XLOOKUP($H322,'(backend scoring)'!$S$2:$S$333,'(backend scoring)'!$A$2:$A$333,"")</f>
        <v/>
      </c>
      <c r="J322" s="241" t="str">
        <f>IFERROR(VLOOKUP($I322,'Institution Evaluation'!$A$55:$F$345,2,0),IFERROR(VLOOKUP($I322,'Privacy Analyst Evaluation'!$A$46:$F$120,2,0),""))</f>
        <v/>
      </c>
      <c r="K322" s="241" t="str">
        <f>IFERROR(VLOOKUP($I322,'Institution Evaluation'!$A$55:$F$345,3,0),IFERROR(VLOOKUP($I322,'Privacy Analyst Evaluation'!$A$46:$F$120,3,0),""))&amp;""</f>
        <v/>
      </c>
      <c r="L322" s="241" t="str">
        <f>IFERROR(VLOOKUP($I322,'Institution Evaluation'!$A$55:$F$345,4,0),IFERROR(VLOOKUP($I322,'Privacy Analyst Evaluation'!$A$46:$F$120,4,0),""))&amp;""</f>
        <v/>
      </c>
      <c r="M322" s="241" t="str">
        <f>IFERROR(VLOOKUP($I322,'Institution Evaluation'!$A$55:$F$345,6,0),IFERROR(VLOOKUP($I322,'Privacy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ht="17" x14ac:dyDescent="0.2">
      <c r="A323" s="241" t="str">
        <f>IFERROR(IF($A322+1&gt;'(backend scoring)'!$T$335,"",$A322+1),"")</f>
        <v/>
      </c>
      <c r="B323" s="241" t="str">
        <f>_xlfn.XLOOKUP($A323,'(backend scoring)'!$V$2:$V$333,'(backend scoring)'!$A$2:$A$333,"")</f>
        <v/>
      </c>
      <c r="C323" s="241" t="str">
        <f>IFERROR(VLOOKUP($B323,'Institution Evaluation'!$A$55:$F$345,2,0),IFERROR(VLOOKUP($B323,'Privacy Analyst Evaluation'!$A$46:$F$120,2,0),""))&amp;""</f>
        <v/>
      </c>
      <c r="D323" s="241" t="str">
        <f>IFERROR(VLOOKUP($B323,'Institution Evaluation'!$A$55:$F$345,3,0),IFERROR(VLOOKUP($B323,'Privacy Analyst Evaluation'!$A$46:$F$120,3,0),""))&amp;""</f>
        <v/>
      </c>
      <c r="E323" s="241" t="str">
        <f>IFERROR(VLOOKUP($B323,'Institution Evaluation'!$A$55:$F$345,4,0),IFERROR(VLOOKUP($B323,'Privacy Analyst Evaluation'!$A$46:$F$120,4,0),""))&amp;""</f>
        <v/>
      </c>
      <c r="F323" s="241" t="str">
        <f>IFERROR(VLOOKUP($B323,'Institution Evaluation'!$A$55:$F$345,6,0),IFERROR(VLOOKUP($B323,'Privacy Analyst Evaluation'!$A$46:$F$120,6,0),""))&amp;""</f>
        <v/>
      </c>
      <c r="G323" s="242"/>
      <c r="H323" s="241" t="str">
        <f>IFERROR(IF($H322+1&gt;'(backend scoring)'!$Q$335,"",$H322+1),"")</f>
        <v/>
      </c>
      <c r="I323" s="241" t="str">
        <f>_xlfn.XLOOKUP($H323,'(backend scoring)'!$S$2:$S$333,'(backend scoring)'!$A$2:$A$333,"")</f>
        <v/>
      </c>
      <c r="J323" s="241" t="str">
        <f>IFERROR(VLOOKUP($I323,'Institution Evaluation'!$A$55:$F$345,2,0),IFERROR(VLOOKUP($I323,'Privacy Analyst Evaluation'!$A$46:$F$120,2,0),""))</f>
        <v/>
      </c>
      <c r="K323" s="241" t="str">
        <f>IFERROR(VLOOKUP($I323,'Institution Evaluation'!$A$55:$F$345,3,0),IFERROR(VLOOKUP($I323,'Privacy Analyst Evaluation'!$A$46:$F$120,3,0),""))&amp;""</f>
        <v/>
      </c>
      <c r="L323" s="241" t="str">
        <f>IFERROR(VLOOKUP($I323,'Institution Evaluation'!$A$55:$F$345,4,0),IFERROR(VLOOKUP($I323,'Privacy Analyst Evaluation'!$A$46:$F$120,4,0),""))&amp;""</f>
        <v/>
      </c>
      <c r="M323" s="241" t="str">
        <f>IFERROR(VLOOKUP($I323,'Institution Evaluation'!$A$55:$F$345,6,0),IFERROR(VLOOKUP($I323,'Privacy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ht="17" x14ac:dyDescent="0.2">
      <c r="A324" s="241" t="str">
        <f>IFERROR(IF($A323+1&gt;'(backend scoring)'!$T$335,"",$A323+1),"")</f>
        <v/>
      </c>
      <c r="B324" s="241" t="str">
        <f>_xlfn.XLOOKUP($A324,'(backend scoring)'!$V$2:$V$333,'(backend scoring)'!$A$2:$A$333,"")</f>
        <v/>
      </c>
      <c r="C324" s="241" t="str">
        <f>IFERROR(VLOOKUP($B324,'Institution Evaluation'!$A$55:$F$345,2,0),IFERROR(VLOOKUP($B324,'Privacy Analyst Evaluation'!$A$46:$F$120,2,0),""))&amp;""</f>
        <v/>
      </c>
      <c r="D324" s="241" t="str">
        <f>IFERROR(VLOOKUP($B324,'Institution Evaluation'!$A$55:$F$345,3,0),IFERROR(VLOOKUP($B324,'Privacy Analyst Evaluation'!$A$46:$F$120,3,0),""))&amp;""</f>
        <v/>
      </c>
      <c r="E324" s="241" t="str">
        <f>IFERROR(VLOOKUP($B324,'Institution Evaluation'!$A$55:$F$345,4,0),IFERROR(VLOOKUP($B324,'Privacy Analyst Evaluation'!$A$46:$F$120,4,0),""))&amp;""</f>
        <v/>
      </c>
      <c r="F324" s="241" t="str">
        <f>IFERROR(VLOOKUP($B324,'Institution Evaluation'!$A$55:$F$345,6,0),IFERROR(VLOOKUP($B324,'Privacy Analyst Evaluation'!$A$46:$F$120,6,0),""))&amp;""</f>
        <v/>
      </c>
      <c r="G324" s="242"/>
      <c r="H324" s="241" t="str">
        <f>IFERROR(IF($H323+1&gt;'(backend scoring)'!$Q$335,"",$H323+1),"")</f>
        <v/>
      </c>
      <c r="I324" s="241" t="str">
        <f>_xlfn.XLOOKUP($H324,'(backend scoring)'!$S$2:$S$333,'(backend scoring)'!$A$2:$A$333,"")</f>
        <v/>
      </c>
      <c r="J324" s="241" t="str">
        <f>IFERROR(VLOOKUP($I324,'Institution Evaluation'!$A$55:$F$345,2,0),IFERROR(VLOOKUP($I324,'Privacy Analyst Evaluation'!$A$46:$F$120,2,0),""))</f>
        <v/>
      </c>
      <c r="K324" s="241" t="str">
        <f>IFERROR(VLOOKUP($I324,'Institution Evaluation'!$A$55:$F$345,3,0),IFERROR(VLOOKUP($I324,'Privacy Analyst Evaluation'!$A$46:$F$120,3,0),""))&amp;""</f>
        <v/>
      </c>
      <c r="L324" s="241" t="str">
        <f>IFERROR(VLOOKUP($I324,'Institution Evaluation'!$A$55:$F$345,4,0),IFERROR(VLOOKUP($I324,'Privacy Analyst Evaluation'!$A$46:$F$120,4,0),""))&amp;""</f>
        <v/>
      </c>
      <c r="M324" s="241" t="str">
        <f>IFERROR(VLOOKUP($I324,'Institution Evaluation'!$A$55:$F$345,6,0),IFERROR(VLOOKUP($I324,'Privacy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ht="17" x14ac:dyDescent="0.2">
      <c r="A325" s="241" t="str">
        <f>IFERROR(IF($A324+1&gt;'(backend scoring)'!$T$335,"",$A324+1),"")</f>
        <v/>
      </c>
      <c r="B325" s="241" t="str">
        <f>_xlfn.XLOOKUP($A325,'(backend scoring)'!$V$2:$V$333,'(backend scoring)'!$A$2:$A$333,"")</f>
        <v/>
      </c>
      <c r="C325" s="241" t="str">
        <f>IFERROR(VLOOKUP($B325,'Institution Evaluation'!$A$55:$F$345,2,0),IFERROR(VLOOKUP($B325,'Privacy Analyst Evaluation'!$A$46:$F$120,2,0),""))&amp;""</f>
        <v/>
      </c>
      <c r="D325" s="241" t="str">
        <f>IFERROR(VLOOKUP($B325,'Institution Evaluation'!$A$55:$F$345,3,0),IFERROR(VLOOKUP($B325,'Privacy Analyst Evaluation'!$A$46:$F$120,3,0),""))&amp;""</f>
        <v/>
      </c>
      <c r="E325" s="241" t="str">
        <f>IFERROR(VLOOKUP($B325,'Institution Evaluation'!$A$55:$F$345,4,0),IFERROR(VLOOKUP($B325,'Privacy Analyst Evaluation'!$A$46:$F$120,4,0),""))&amp;""</f>
        <v/>
      </c>
      <c r="F325" s="241" t="str">
        <f>IFERROR(VLOOKUP($B325,'Institution Evaluation'!$A$55:$F$345,6,0),IFERROR(VLOOKUP($B325,'Privacy Analyst Evaluation'!$A$46:$F$120,6,0),""))&amp;""</f>
        <v/>
      </c>
      <c r="G325" s="242"/>
      <c r="H325" s="241" t="str">
        <f>IFERROR(IF($H324+1&gt;'(backend scoring)'!$Q$335,"",$H324+1),"")</f>
        <v/>
      </c>
      <c r="I325" s="241" t="str">
        <f>_xlfn.XLOOKUP($H325,'(backend scoring)'!$S$2:$S$333,'(backend scoring)'!$A$2:$A$333,"")</f>
        <v/>
      </c>
      <c r="J325" s="241" t="str">
        <f>IFERROR(VLOOKUP($I325,'Institution Evaluation'!$A$55:$F$345,2,0),IFERROR(VLOOKUP($I325,'Privacy Analyst Evaluation'!$A$46:$F$120,2,0),""))</f>
        <v/>
      </c>
      <c r="K325" s="241" t="str">
        <f>IFERROR(VLOOKUP($I325,'Institution Evaluation'!$A$55:$F$345,3,0),IFERROR(VLOOKUP($I325,'Privacy Analyst Evaluation'!$A$46:$F$120,3,0),""))&amp;""</f>
        <v/>
      </c>
      <c r="L325" s="241" t="str">
        <f>IFERROR(VLOOKUP($I325,'Institution Evaluation'!$A$55:$F$345,4,0),IFERROR(VLOOKUP($I325,'Privacy Analyst Evaluation'!$A$46:$F$120,4,0),""))&amp;""</f>
        <v/>
      </c>
      <c r="M325" s="241" t="str">
        <f>IFERROR(VLOOKUP($I325,'Institution Evaluation'!$A$55:$F$345,6,0),IFERROR(VLOOKUP($I325,'Privacy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ht="17" x14ac:dyDescent="0.2">
      <c r="A326" s="241" t="str">
        <f>IFERROR(IF($A325+1&gt;'(backend scoring)'!$T$335,"",$A325+1),"")</f>
        <v/>
      </c>
      <c r="B326" s="241" t="str">
        <f>_xlfn.XLOOKUP($A326,'(backend scoring)'!$V$2:$V$333,'(backend scoring)'!$A$2:$A$333,"")</f>
        <v/>
      </c>
      <c r="C326" s="241" t="str">
        <f>IFERROR(VLOOKUP($B326,'Institution Evaluation'!$A$55:$F$345,2,0),IFERROR(VLOOKUP($B326,'Privacy Analyst Evaluation'!$A$46:$F$120,2,0),""))&amp;""</f>
        <v/>
      </c>
      <c r="D326" s="241" t="str">
        <f>IFERROR(VLOOKUP($B326,'Institution Evaluation'!$A$55:$F$345,3,0),IFERROR(VLOOKUP($B326,'Privacy Analyst Evaluation'!$A$46:$F$120,3,0),""))&amp;""</f>
        <v/>
      </c>
      <c r="E326" s="241" t="str">
        <f>IFERROR(VLOOKUP($B326,'Institution Evaluation'!$A$55:$F$345,4,0),IFERROR(VLOOKUP($B326,'Privacy Analyst Evaluation'!$A$46:$F$120,4,0),""))&amp;""</f>
        <v/>
      </c>
      <c r="F326" s="241" t="str">
        <f>IFERROR(VLOOKUP($B326,'Institution Evaluation'!$A$55:$F$345,6,0),IFERROR(VLOOKUP($B326,'Privacy Analyst Evaluation'!$A$46:$F$120,6,0),""))&amp;""</f>
        <v/>
      </c>
      <c r="G326" s="242"/>
      <c r="H326" s="241" t="str">
        <f>IFERROR(IF($H325+1&gt;'(backend scoring)'!$Q$335,"",$H325+1),"")</f>
        <v/>
      </c>
      <c r="I326" s="241" t="str">
        <f>_xlfn.XLOOKUP($H326,'(backend scoring)'!$S$2:$S$333,'(backend scoring)'!$A$2:$A$333,"")</f>
        <v/>
      </c>
      <c r="J326" s="241" t="str">
        <f>IFERROR(VLOOKUP($I326,'Institution Evaluation'!$A$55:$F$345,2,0),IFERROR(VLOOKUP($I326,'Privacy Analyst Evaluation'!$A$46:$F$120,2,0),""))</f>
        <v/>
      </c>
      <c r="K326" s="241" t="str">
        <f>IFERROR(VLOOKUP($I326,'Institution Evaluation'!$A$55:$F$345,3,0),IFERROR(VLOOKUP($I326,'Privacy Analyst Evaluation'!$A$46:$F$120,3,0),""))&amp;""</f>
        <v/>
      </c>
      <c r="L326" s="241" t="str">
        <f>IFERROR(VLOOKUP($I326,'Institution Evaluation'!$A$55:$F$345,4,0),IFERROR(VLOOKUP($I326,'Privacy Analyst Evaluation'!$A$46:$F$120,4,0),""))&amp;""</f>
        <v/>
      </c>
      <c r="M326" s="241" t="str">
        <f>IFERROR(VLOOKUP($I326,'Institution Evaluation'!$A$55:$F$345,6,0),IFERROR(VLOOKUP($I326,'Privacy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ht="17" x14ac:dyDescent="0.2">
      <c r="A327" s="241" t="str">
        <f>IFERROR(IF($A326+1&gt;'(backend scoring)'!$T$335,"",$A326+1),"")</f>
        <v/>
      </c>
      <c r="B327" s="241" t="str">
        <f>_xlfn.XLOOKUP($A327,'(backend scoring)'!$V$2:$V$333,'(backend scoring)'!$A$2:$A$333,"")</f>
        <v/>
      </c>
      <c r="C327" s="241" t="str">
        <f>IFERROR(VLOOKUP($B327,'Institution Evaluation'!$A$55:$F$345,2,0),IFERROR(VLOOKUP($B327,'Privacy Analyst Evaluation'!$A$46:$F$120,2,0),""))&amp;""</f>
        <v/>
      </c>
      <c r="D327" s="241" t="str">
        <f>IFERROR(VLOOKUP($B327,'Institution Evaluation'!$A$55:$F$345,3,0),IFERROR(VLOOKUP($B327,'Privacy Analyst Evaluation'!$A$46:$F$120,3,0),""))&amp;""</f>
        <v/>
      </c>
      <c r="E327" s="241" t="str">
        <f>IFERROR(VLOOKUP($B327,'Institution Evaluation'!$A$55:$F$345,4,0),IFERROR(VLOOKUP($B327,'Privacy Analyst Evaluation'!$A$46:$F$120,4,0),""))&amp;""</f>
        <v/>
      </c>
      <c r="F327" s="241" t="str">
        <f>IFERROR(VLOOKUP($B327,'Institution Evaluation'!$A$55:$F$345,6,0),IFERROR(VLOOKUP($B327,'Privacy Analyst Evaluation'!$A$46:$F$120,6,0),""))&amp;""</f>
        <v/>
      </c>
      <c r="G327" s="242"/>
      <c r="H327" s="241" t="str">
        <f>IFERROR(IF($H326+1&gt;'(backend scoring)'!$Q$335,"",$H326+1),"")</f>
        <v/>
      </c>
      <c r="I327" s="241" t="str">
        <f>_xlfn.XLOOKUP($H327,'(backend scoring)'!$S$2:$S$333,'(backend scoring)'!$A$2:$A$333,"")</f>
        <v/>
      </c>
      <c r="J327" s="241" t="str">
        <f>IFERROR(VLOOKUP($I327,'Institution Evaluation'!$A$55:$F$345,2,0),IFERROR(VLOOKUP($I327,'Privacy Analyst Evaluation'!$A$46:$F$120,2,0),""))</f>
        <v/>
      </c>
      <c r="K327" s="241" t="str">
        <f>IFERROR(VLOOKUP($I327,'Institution Evaluation'!$A$55:$F$345,3,0),IFERROR(VLOOKUP($I327,'Privacy Analyst Evaluation'!$A$46:$F$120,3,0),""))&amp;""</f>
        <v/>
      </c>
      <c r="L327" s="241" t="str">
        <f>IFERROR(VLOOKUP($I327,'Institution Evaluation'!$A$55:$F$345,4,0),IFERROR(VLOOKUP($I327,'Privacy Analyst Evaluation'!$A$46:$F$120,4,0),""))&amp;""</f>
        <v/>
      </c>
      <c r="M327" s="241" t="str">
        <f>IFERROR(VLOOKUP($I327,'Institution Evaluation'!$A$55:$F$345,6,0),IFERROR(VLOOKUP($I327,'Privacy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ht="17" x14ac:dyDescent="0.2">
      <c r="A328" s="241" t="str">
        <f>IFERROR(IF($A327+1&gt;'(backend scoring)'!$T$335,"",$A327+1),"")</f>
        <v/>
      </c>
      <c r="B328" s="241" t="str">
        <f>_xlfn.XLOOKUP($A328,'(backend scoring)'!$V$2:$V$333,'(backend scoring)'!$A$2:$A$333,"")</f>
        <v/>
      </c>
      <c r="C328" s="241" t="str">
        <f>IFERROR(VLOOKUP($B328,'Institution Evaluation'!$A$55:$F$345,2,0),IFERROR(VLOOKUP($B328,'Privacy Analyst Evaluation'!$A$46:$F$120,2,0),""))&amp;""</f>
        <v/>
      </c>
      <c r="D328" s="241" t="str">
        <f>IFERROR(VLOOKUP($B328,'Institution Evaluation'!$A$55:$F$345,3,0),IFERROR(VLOOKUP($B328,'Privacy Analyst Evaluation'!$A$46:$F$120,3,0),""))&amp;""</f>
        <v/>
      </c>
      <c r="E328" s="241" t="str">
        <f>IFERROR(VLOOKUP($B328,'Institution Evaluation'!$A$55:$F$345,4,0),IFERROR(VLOOKUP($B328,'Privacy Analyst Evaluation'!$A$46:$F$120,4,0),""))&amp;""</f>
        <v/>
      </c>
      <c r="F328" s="241" t="str">
        <f>IFERROR(VLOOKUP($B328,'Institution Evaluation'!$A$55:$F$345,6,0),IFERROR(VLOOKUP($B328,'Privacy Analyst Evaluation'!$A$46:$F$120,6,0),""))&amp;""</f>
        <v/>
      </c>
      <c r="G328" s="242"/>
      <c r="H328" s="241" t="str">
        <f>IFERROR(IF($H327+1&gt;'(backend scoring)'!$Q$335,"",$H327+1),"")</f>
        <v/>
      </c>
      <c r="I328" s="241" t="str">
        <f>_xlfn.XLOOKUP($H328,'(backend scoring)'!$S$2:$S$333,'(backend scoring)'!$A$2:$A$333,"")</f>
        <v/>
      </c>
      <c r="J328" s="241" t="str">
        <f>IFERROR(VLOOKUP($I328,'Institution Evaluation'!$A$55:$F$345,2,0),IFERROR(VLOOKUP($I328,'Privacy Analyst Evaluation'!$A$46:$F$120,2,0),""))</f>
        <v/>
      </c>
      <c r="K328" s="241" t="str">
        <f>IFERROR(VLOOKUP($I328,'Institution Evaluation'!$A$55:$F$345,3,0),IFERROR(VLOOKUP($I328,'Privacy Analyst Evaluation'!$A$46:$F$120,3,0),""))&amp;""</f>
        <v/>
      </c>
      <c r="L328" s="241" t="str">
        <f>IFERROR(VLOOKUP($I328,'Institution Evaluation'!$A$55:$F$345,4,0),IFERROR(VLOOKUP($I328,'Privacy Analyst Evaluation'!$A$46:$F$120,4,0),""))&amp;""</f>
        <v/>
      </c>
      <c r="M328" s="241" t="str">
        <f>IFERROR(VLOOKUP($I328,'Institution Evaluation'!$A$55:$F$345,6,0),IFERROR(VLOOKUP($I328,'Privacy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ht="17" x14ac:dyDescent="0.2">
      <c r="A329" s="241" t="str">
        <f>IFERROR(IF($A328+1&gt;'(backend scoring)'!$T$335,"",$A328+1),"")</f>
        <v/>
      </c>
      <c r="B329" s="241" t="str">
        <f>_xlfn.XLOOKUP($A329,'(backend scoring)'!$V$2:$V$333,'(backend scoring)'!$A$2:$A$333,"")</f>
        <v/>
      </c>
      <c r="C329" s="241" t="str">
        <f>IFERROR(VLOOKUP($B329,'Institution Evaluation'!$A$55:$F$345,2,0),IFERROR(VLOOKUP($B329,'Privacy Analyst Evaluation'!$A$46:$F$120,2,0),""))&amp;""</f>
        <v/>
      </c>
      <c r="D329" s="241" t="str">
        <f>IFERROR(VLOOKUP($B329,'Institution Evaluation'!$A$55:$F$345,3,0),IFERROR(VLOOKUP($B329,'Privacy Analyst Evaluation'!$A$46:$F$120,3,0),""))&amp;""</f>
        <v/>
      </c>
      <c r="E329" s="241" t="str">
        <f>IFERROR(VLOOKUP($B329,'Institution Evaluation'!$A$55:$F$345,4,0),IFERROR(VLOOKUP($B329,'Privacy Analyst Evaluation'!$A$46:$F$120,4,0),""))&amp;""</f>
        <v/>
      </c>
      <c r="F329" s="241" t="str">
        <f>IFERROR(VLOOKUP($B329,'Institution Evaluation'!$A$55:$F$345,6,0),IFERROR(VLOOKUP($B329,'Privacy Analyst Evaluation'!$A$46:$F$120,6,0),""))&amp;""</f>
        <v/>
      </c>
      <c r="G329" s="242"/>
      <c r="H329" s="241" t="str">
        <f>IFERROR(IF($H328+1&gt;'(backend scoring)'!$Q$335,"",$H328+1),"")</f>
        <v/>
      </c>
      <c r="I329" s="241" t="str">
        <f>_xlfn.XLOOKUP($H329,'(backend scoring)'!$S$2:$S$333,'(backend scoring)'!$A$2:$A$333,"")</f>
        <v/>
      </c>
      <c r="J329" s="241" t="str">
        <f>IFERROR(VLOOKUP($I329,'Institution Evaluation'!$A$55:$F$345,2,0),IFERROR(VLOOKUP($I329,'Privacy Analyst Evaluation'!$A$46:$F$120,2,0),""))</f>
        <v/>
      </c>
      <c r="K329" s="241" t="str">
        <f>IFERROR(VLOOKUP($I329,'Institution Evaluation'!$A$55:$F$345,3,0),IFERROR(VLOOKUP($I329,'Privacy Analyst Evaluation'!$A$46:$F$120,3,0),""))&amp;""</f>
        <v/>
      </c>
      <c r="L329" s="241" t="str">
        <f>IFERROR(VLOOKUP($I329,'Institution Evaluation'!$A$55:$F$345,4,0),IFERROR(VLOOKUP($I329,'Privacy Analyst Evaluation'!$A$46:$F$120,4,0),""))&amp;""</f>
        <v/>
      </c>
      <c r="M329" s="241" t="str">
        <f>IFERROR(VLOOKUP($I329,'Institution Evaluation'!$A$55:$F$345,6,0),IFERROR(VLOOKUP($I329,'Privacy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ht="17" x14ac:dyDescent="0.2">
      <c r="A330" s="241" t="str">
        <f>IFERROR(IF($A329+1&gt;'(backend scoring)'!$T$335,"",$A329+1),"")</f>
        <v/>
      </c>
      <c r="B330" s="241" t="str">
        <f>_xlfn.XLOOKUP($A330,'(backend scoring)'!$V$2:$V$333,'(backend scoring)'!$A$2:$A$333,"")</f>
        <v/>
      </c>
      <c r="C330" s="241" t="str">
        <f>IFERROR(VLOOKUP($B330,'Institution Evaluation'!$A$55:$F$345,2,0),IFERROR(VLOOKUP($B330,'Privacy Analyst Evaluation'!$A$46:$F$120,2,0),""))&amp;""</f>
        <v/>
      </c>
      <c r="D330" s="241" t="str">
        <f>IFERROR(VLOOKUP($B330,'Institution Evaluation'!$A$55:$F$345,3,0),IFERROR(VLOOKUP($B330,'Privacy Analyst Evaluation'!$A$46:$F$120,3,0),""))&amp;""</f>
        <v/>
      </c>
      <c r="E330" s="241" t="str">
        <f>IFERROR(VLOOKUP($B330,'Institution Evaluation'!$A$55:$F$345,4,0),IFERROR(VLOOKUP($B330,'Privacy Analyst Evaluation'!$A$46:$F$120,4,0),""))&amp;""</f>
        <v/>
      </c>
      <c r="F330" s="241" t="str">
        <f>IFERROR(VLOOKUP($B330,'Institution Evaluation'!$A$55:$F$345,6,0),IFERROR(VLOOKUP($B330,'Privacy Analyst Evaluation'!$A$46:$F$120,6,0),""))&amp;""</f>
        <v/>
      </c>
      <c r="G330" s="242"/>
      <c r="H330" s="241" t="str">
        <f>IFERROR(IF($H329+1&gt;'(backend scoring)'!$Q$335,"",$H329+1),"")</f>
        <v/>
      </c>
      <c r="I330" s="241" t="str">
        <f>_xlfn.XLOOKUP($H330,'(backend scoring)'!$S$2:$S$333,'(backend scoring)'!$A$2:$A$333,"")</f>
        <v/>
      </c>
      <c r="J330" s="241" t="str">
        <f>IFERROR(VLOOKUP($I330,'Institution Evaluation'!$A$55:$F$345,2,0),IFERROR(VLOOKUP($I330,'Privacy Analyst Evaluation'!$A$46:$F$120,2,0),""))</f>
        <v/>
      </c>
      <c r="K330" s="241" t="str">
        <f>IFERROR(VLOOKUP($I330,'Institution Evaluation'!$A$55:$F$345,3,0),IFERROR(VLOOKUP($I330,'Privacy Analyst Evaluation'!$A$46:$F$120,3,0),""))&amp;""</f>
        <v/>
      </c>
      <c r="L330" s="241" t="str">
        <f>IFERROR(VLOOKUP($I330,'Institution Evaluation'!$A$55:$F$345,4,0),IFERROR(VLOOKUP($I330,'Privacy Analyst Evaluation'!$A$46:$F$120,4,0),""))&amp;""</f>
        <v/>
      </c>
      <c r="M330" s="241" t="str">
        <f>IFERROR(VLOOKUP($I330,'Institution Evaluation'!$A$55:$F$345,6,0),IFERROR(VLOOKUP($I330,'Privacy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ht="17" x14ac:dyDescent="0.2">
      <c r="A331" s="241" t="str">
        <f>IFERROR(IF($A330+1&gt;'(backend scoring)'!$T$335,"",$A330+1),"")</f>
        <v/>
      </c>
      <c r="B331" s="241" t="str">
        <f>_xlfn.XLOOKUP($A331,'(backend scoring)'!$V$2:$V$333,'(backend scoring)'!$A$2:$A$333,"")</f>
        <v/>
      </c>
      <c r="C331" s="241" t="str">
        <f>IFERROR(VLOOKUP($B331,'Institution Evaluation'!$A$55:$F$345,2,0),IFERROR(VLOOKUP($B331,'Privacy Analyst Evaluation'!$A$46:$F$120,2,0),""))&amp;""</f>
        <v/>
      </c>
      <c r="D331" s="241" t="str">
        <f>IFERROR(VLOOKUP($B331,'Institution Evaluation'!$A$55:$F$345,3,0),IFERROR(VLOOKUP($B331,'Privacy Analyst Evaluation'!$A$46:$F$120,3,0),""))&amp;""</f>
        <v/>
      </c>
      <c r="E331" s="241" t="str">
        <f>IFERROR(VLOOKUP($B331,'Institution Evaluation'!$A$55:$F$345,4,0),IFERROR(VLOOKUP($B331,'Privacy Analyst Evaluation'!$A$46:$F$120,4,0),""))&amp;""</f>
        <v/>
      </c>
      <c r="F331" s="241" t="str">
        <f>IFERROR(VLOOKUP($B331,'Institution Evaluation'!$A$55:$F$345,6,0),IFERROR(VLOOKUP($B331,'Privacy Analyst Evaluation'!$A$46:$F$120,6,0),""))&amp;""</f>
        <v/>
      </c>
      <c r="G331" s="242"/>
      <c r="H331" s="241" t="str">
        <f>IFERROR(IF($H330+1&gt;'(backend scoring)'!$Q$335,"",$H330+1),"")</f>
        <v/>
      </c>
      <c r="I331" s="241" t="str">
        <f>_xlfn.XLOOKUP($H331,'(backend scoring)'!$S$2:$S$333,'(backend scoring)'!$A$2:$A$333,"")</f>
        <v/>
      </c>
      <c r="J331" s="241" t="str">
        <f>IFERROR(VLOOKUP($I331,'Institution Evaluation'!$A$55:$F$345,2,0),IFERROR(VLOOKUP($I331,'Privacy Analyst Evaluation'!$A$46:$F$120,2,0),""))</f>
        <v/>
      </c>
      <c r="K331" s="241" t="str">
        <f>IFERROR(VLOOKUP($I331,'Institution Evaluation'!$A$55:$F$345,3,0),IFERROR(VLOOKUP($I331,'Privacy Analyst Evaluation'!$A$46:$F$120,3,0),""))&amp;""</f>
        <v/>
      </c>
      <c r="L331" s="241" t="str">
        <f>IFERROR(VLOOKUP($I331,'Institution Evaluation'!$A$55:$F$345,4,0),IFERROR(VLOOKUP($I331,'Privacy Analyst Evaluation'!$A$46:$F$120,4,0),""))&amp;""</f>
        <v/>
      </c>
      <c r="M331" s="241" t="str">
        <f>IFERROR(VLOOKUP($I331,'Institution Evaluation'!$A$55:$F$345,6,0),IFERROR(VLOOKUP($I331,'Privacy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ht="17" x14ac:dyDescent="0.2">
      <c r="A332" s="241" t="str">
        <f>IFERROR(IF($A331+1&gt;'(backend scoring)'!$T$335,"",$A331+1),"")</f>
        <v/>
      </c>
      <c r="B332" s="241" t="str">
        <f>_xlfn.XLOOKUP($A332,'(backend scoring)'!$V$2:$V$333,'(backend scoring)'!$A$2:$A$333,"")</f>
        <v/>
      </c>
      <c r="C332" s="241" t="str">
        <f>IFERROR(VLOOKUP($B332,'Institution Evaluation'!$A$55:$F$345,2,0),IFERROR(VLOOKUP($B332,'Privacy Analyst Evaluation'!$A$46:$F$120,2,0),""))&amp;""</f>
        <v/>
      </c>
      <c r="D332" s="241" t="str">
        <f>IFERROR(VLOOKUP($B332,'Institution Evaluation'!$A$55:$F$345,3,0),IFERROR(VLOOKUP($B332,'Privacy Analyst Evaluation'!$A$46:$F$120,3,0),""))&amp;""</f>
        <v/>
      </c>
      <c r="E332" s="241" t="str">
        <f>IFERROR(VLOOKUP($B332,'Institution Evaluation'!$A$55:$F$345,4,0),IFERROR(VLOOKUP($B332,'Privacy Analyst Evaluation'!$A$46:$F$120,4,0),""))&amp;""</f>
        <v/>
      </c>
      <c r="F332" s="241" t="str">
        <f>IFERROR(VLOOKUP($B332,'Institution Evaluation'!$A$55:$F$345,6,0),IFERROR(VLOOKUP($B332,'Privacy Analyst Evaluation'!$A$46:$F$120,6,0),""))&amp;""</f>
        <v/>
      </c>
      <c r="G332" s="242"/>
      <c r="H332" s="241" t="str">
        <f>IFERROR(IF($H331+1&gt;'(backend scoring)'!$Q$335,"",$H331+1),"")</f>
        <v/>
      </c>
      <c r="I332" s="241" t="str">
        <f>_xlfn.XLOOKUP($H332,'(backend scoring)'!$S$2:$S$333,'(backend scoring)'!$A$2:$A$333,"")</f>
        <v/>
      </c>
      <c r="J332" s="241" t="str">
        <f>IFERROR(VLOOKUP($I332,'Institution Evaluation'!$A$55:$F$345,2,0),IFERROR(VLOOKUP($I332,'Privacy Analyst Evaluation'!$A$46:$F$120,2,0),""))</f>
        <v/>
      </c>
      <c r="K332" s="241" t="str">
        <f>IFERROR(VLOOKUP($I332,'Institution Evaluation'!$A$55:$F$345,3,0),IFERROR(VLOOKUP($I332,'Privacy Analyst Evaluation'!$A$46:$F$120,3,0),""))&amp;""</f>
        <v/>
      </c>
      <c r="L332" s="241" t="str">
        <f>IFERROR(VLOOKUP($I332,'Institution Evaluation'!$A$55:$F$345,4,0),IFERROR(VLOOKUP($I332,'Privacy Analyst Evaluation'!$A$46:$F$120,4,0),""))&amp;""</f>
        <v/>
      </c>
      <c r="M332" s="241" t="str">
        <f>IFERROR(VLOOKUP($I332,'Institution Evaluation'!$A$55:$F$345,6,0),IFERROR(VLOOKUP($I332,'Privacy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ht="17" x14ac:dyDescent="0.2">
      <c r="A333" s="241" t="str">
        <f>IFERROR(IF($A332+1&gt;'(backend scoring)'!$T$335,"",$A332+1),"")</f>
        <v/>
      </c>
      <c r="B333" s="241" t="str">
        <f>_xlfn.XLOOKUP($A333,'(backend scoring)'!$V$2:$V$333,'(backend scoring)'!$A$2:$A$333,"")</f>
        <v/>
      </c>
      <c r="C333" s="241" t="str">
        <f>IFERROR(VLOOKUP($B333,'Institution Evaluation'!$A$55:$F$345,2,0),IFERROR(VLOOKUP($B333,'Privacy Analyst Evaluation'!$A$46:$F$120,2,0),""))&amp;""</f>
        <v/>
      </c>
      <c r="D333" s="241" t="str">
        <f>IFERROR(VLOOKUP($B333,'Institution Evaluation'!$A$55:$F$345,3,0),IFERROR(VLOOKUP($B333,'Privacy Analyst Evaluation'!$A$46:$F$120,3,0),""))&amp;""</f>
        <v/>
      </c>
      <c r="E333" s="241" t="str">
        <f>IFERROR(VLOOKUP($B333,'Institution Evaluation'!$A$55:$F$345,4,0),IFERROR(VLOOKUP($B333,'Privacy Analyst Evaluation'!$A$46:$F$120,4,0),""))&amp;""</f>
        <v/>
      </c>
      <c r="F333" s="241" t="str">
        <f>IFERROR(VLOOKUP($B333,'Institution Evaluation'!$A$55:$F$345,6,0),IFERROR(VLOOKUP($B333,'Privacy Analyst Evaluation'!$A$46:$F$120,6,0),""))&amp;""</f>
        <v/>
      </c>
      <c r="G333" s="242"/>
      <c r="H333" s="241" t="str">
        <f>IFERROR(IF($H332+1&gt;'(backend scoring)'!$Q$335,"",$H332+1),"")</f>
        <v/>
      </c>
      <c r="I333" s="241" t="str">
        <f>_xlfn.XLOOKUP($H333,'(backend scoring)'!$S$2:$S$333,'(backend scoring)'!$A$2:$A$333,"")</f>
        <v/>
      </c>
      <c r="J333" s="241" t="str">
        <f>IFERROR(VLOOKUP($I333,'Institution Evaluation'!$A$55:$F$345,2,0),IFERROR(VLOOKUP($I333,'Privacy Analyst Evaluation'!$A$46:$F$120,2,0),""))</f>
        <v/>
      </c>
      <c r="K333" s="241" t="str">
        <f>IFERROR(VLOOKUP($I333,'Institution Evaluation'!$A$55:$F$345,3,0),IFERROR(VLOOKUP($I333,'Privacy Analyst Evaluation'!$A$46:$F$120,3,0),""))&amp;""</f>
        <v/>
      </c>
      <c r="L333" s="241" t="str">
        <f>IFERROR(VLOOKUP($I333,'Institution Evaluation'!$A$55:$F$345,4,0),IFERROR(VLOOKUP($I333,'Privacy Analyst Evaluation'!$A$46:$F$120,4,0),""))&amp;""</f>
        <v/>
      </c>
      <c r="M333" s="241" t="str">
        <f>IFERROR(VLOOKUP($I333,'Institution Evaluation'!$A$55:$F$345,6,0),IFERROR(VLOOKUP($I333,'Privacy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ht="17" x14ac:dyDescent="0.2">
      <c r="A334" s="241" t="str">
        <f>IFERROR(IF($A333+1&gt;'(backend scoring)'!$T$335,"",$A333+1),"")</f>
        <v/>
      </c>
      <c r="B334" s="241" t="str">
        <f>_xlfn.XLOOKUP($A334,'(backend scoring)'!$V$2:$V$333,'(backend scoring)'!$A$2:$A$333,"")</f>
        <v/>
      </c>
      <c r="C334" s="241" t="str">
        <f>IFERROR(VLOOKUP($B334,'Institution Evaluation'!$A$55:$F$345,2,0),IFERROR(VLOOKUP($B334,'Privacy Analyst Evaluation'!$A$46:$F$120,2,0),""))&amp;""</f>
        <v/>
      </c>
      <c r="D334" s="241" t="str">
        <f>IFERROR(VLOOKUP($B334,'Institution Evaluation'!$A$55:$F$345,3,0),IFERROR(VLOOKUP($B334,'Privacy Analyst Evaluation'!$A$46:$F$120,3,0),""))&amp;""</f>
        <v/>
      </c>
      <c r="E334" s="241" t="str">
        <f>IFERROR(VLOOKUP($B334,'Institution Evaluation'!$A$55:$F$345,4,0),IFERROR(VLOOKUP($B334,'Privacy Analyst Evaluation'!$A$46:$F$120,4,0),""))&amp;""</f>
        <v/>
      </c>
      <c r="F334" s="241" t="str">
        <f>IFERROR(VLOOKUP($B334,'Institution Evaluation'!$A$55:$F$345,6,0),IFERROR(VLOOKUP($B334,'Privacy Analyst Evaluation'!$A$46:$F$120,6,0),""))&amp;""</f>
        <v/>
      </c>
      <c r="G334" s="242"/>
      <c r="H334" s="241" t="str">
        <f>IFERROR(IF($H333+1&gt;'(backend scoring)'!$Q$335,"",$H333+1),"")</f>
        <v/>
      </c>
      <c r="I334" s="241" t="str">
        <f>_xlfn.XLOOKUP($H334,'(backend scoring)'!$S$2:$S$333,'(backend scoring)'!$A$2:$A$333,"")</f>
        <v/>
      </c>
      <c r="J334" s="241" t="str">
        <f>IFERROR(VLOOKUP($I334,'Institution Evaluation'!$A$55:$F$345,2,0),IFERROR(VLOOKUP($I334,'Privacy Analyst Evaluation'!$A$46:$F$120,2,0),""))</f>
        <v/>
      </c>
      <c r="K334" s="241" t="str">
        <f>IFERROR(VLOOKUP($I334,'Institution Evaluation'!$A$55:$F$345,3,0),IFERROR(VLOOKUP($I334,'Privacy Analyst Evaluation'!$A$46:$F$120,3,0),""))&amp;""</f>
        <v/>
      </c>
      <c r="L334" s="241" t="str">
        <f>IFERROR(VLOOKUP($I334,'Institution Evaluation'!$A$55:$F$345,4,0),IFERROR(VLOOKUP($I334,'Privacy Analyst Evaluation'!$A$46:$F$120,4,0),""))&amp;""</f>
        <v/>
      </c>
      <c r="M334" s="241" t="str">
        <f>IFERROR(VLOOKUP($I334,'Institution Evaluation'!$A$55:$F$345,6,0),IFERROR(VLOOKUP($I334,'Privacy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ht="17" x14ac:dyDescent="0.2">
      <c r="A335" s="241" t="str">
        <f>IFERROR(IF($A334+1&gt;'(backend scoring)'!$T$335,"",$A334+1),"")</f>
        <v/>
      </c>
      <c r="B335" s="241" t="str">
        <f>_xlfn.XLOOKUP($A335,'(backend scoring)'!$V$2:$V$333,'(backend scoring)'!$A$2:$A$333,"")</f>
        <v/>
      </c>
      <c r="C335" s="241" t="str">
        <f>IFERROR(VLOOKUP($B335,'Institution Evaluation'!$A$55:$F$345,2,0),IFERROR(VLOOKUP($B335,'Privacy Analyst Evaluation'!$A$46:$F$120,2,0),""))&amp;""</f>
        <v/>
      </c>
      <c r="D335" s="241" t="str">
        <f>IFERROR(VLOOKUP($B335,'Institution Evaluation'!$A$55:$F$345,3,0),IFERROR(VLOOKUP($B335,'Privacy Analyst Evaluation'!$A$46:$F$120,3,0),""))&amp;""</f>
        <v/>
      </c>
      <c r="E335" s="241" t="str">
        <f>IFERROR(VLOOKUP($B335,'Institution Evaluation'!$A$55:$F$345,4,0),IFERROR(VLOOKUP($B335,'Privacy Analyst Evaluation'!$A$46:$F$120,4,0),""))&amp;""</f>
        <v/>
      </c>
      <c r="F335" s="241" t="str">
        <f>IFERROR(VLOOKUP($B335,'Institution Evaluation'!$A$55:$F$345,6,0),IFERROR(VLOOKUP($B335,'Privacy Analyst Evaluation'!$A$46:$F$120,6,0),""))&amp;""</f>
        <v/>
      </c>
      <c r="G335" s="242"/>
      <c r="H335" s="241" t="str">
        <f>IFERROR(IF($H334+1&gt;'(backend scoring)'!$Q$335,"",$H334+1),"")</f>
        <v/>
      </c>
      <c r="I335" s="241" t="str">
        <f>_xlfn.XLOOKUP($H335,'(backend scoring)'!$S$2:$S$333,'(backend scoring)'!$A$2:$A$333,"")</f>
        <v/>
      </c>
      <c r="J335" s="241" t="str">
        <f>IFERROR(VLOOKUP($I335,'Institution Evaluation'!$A$55:$F$345,2,0),IFERROR(VLOOKUP($I335,'Privacy Analyst Evaluation'!$A$46:$F$120,2,0),""))</f>
        <v/>
      </c>
      <c r="K335" s="241" t="str">
        <f>IFERROR(VLOOKUP($I335,'Institution Evaluation'!$A$55:$F$345,3,0),IFERROR(VLOOKUP($I335,'Privacy Analyst Evaluation'!$A$46:$F$120,3,0),""))&amp;""</f>
        <v/>
      </c>
      <c r="L335" s="241" t="str">
        <f>IFERROR(VLOOKUP($I335,'Institution Evaluation'!$A$55:$F$345,4,0),IFERROR(VLOOKUP($I335,'Privacy Analyst Evaluation'!$A$46:$F$120,4,0),""))&amp;""</f>
        <v/>
      </c>
      <c r="M335" s="241" t="str">
        <f>IFERROR(VLOOKUP($I335,'Institution Evaluation'!$A$55:$F$345,6,0),IFERROR(VLOOKUP($I335,'Privacy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ht="17" x14ac:dyDescent="0.2">
      <c r="A336" s="241" t="str">
        <f>IFERROR(IF($A335+1&gt;'(backend scoring)'!$T$335,"",$A335+1),"")</f>
        <v/>
      </c>
      <c r="B336" s="241" t="str">
        <f>_xlfn.XLOOKUP($A336,'(backend scoring)'!$V$2:$V$333,'(backend scoring)'!$A$2:$A$333,"")</f>
        <v/>
      </c>
      <c r="C336" s="241" t="str">
        <f>IFERROR(VLOOKUP($B336,'Institution Evaluation'!$A$55:$F$345,2,0),IFERROR(VLOOKUP($B336,'Privacy Analyst Evaluation'!$A$46:$F$120,2,0),""))&amp;""</f>
        <v/>
      </c>
      <c r="D336" s="241" t="str">
        <f>IFERROR(VLOOKUP($B336,'Institution Evaluation'!$A$55:$F$345,3,0),IFERROR(VLOOKUP($B336,'Privacy Analyst Evaluation'!$A$46:$F$120,3,0),""))&amp;""</f>
        <v/>
      </c>
      <c r="E336" s="241" t="str">
        <f>IFERROR(VLOOKUP($B336,'Institution Evaluation'!$A$55:$F$345,4,0),IFERROR(VLOOKUP($B336,'Privacy Analyst Evaluation'!$A$46:$F$120,4,0),""))&amp;""</f>
        <v/>
      </c>
      <c r="F336" s="241" t="str">
        <f>IFERROR(VLOOKUP($B336,'Institution Evaluation'!$A$55:$F$345,6,0),IFERROR(VLOOKUP($B336,'Privacy Analyst Evaluation'!$A$46:$F$120,6,0),""))&amp;""</f>
        <v/>
      </c>
      <c r="G336" s="242"/>
      <c r="H336" s="241" t="str">
        <f>IFERROR(IF($H335+1&gt;'(backend scoring)'!$Q$335,"",$H335+1),"")</f>
        <v/>
      </c>
      <c r="I336" s="241" t="str">
        <f>_xlfn.XLOOKUP($H336,'(backend scoring)'!$S$2:$S$333,'(backend scoring)'!$A$2:$A$333,"")</f>
        <v/>
      </c>
      <c r="J336" s="241" t="str">
        <f>IFERROR(VLOOKUP($I336,'Institution Evaluation'!$A$55:$F$345,2,0),IFERROR(VLOOKUP($I336,'Privacy Analyst Evaluation'!$A$46:$F$120,2,0),""))</f>
        <v/>
      </c>
      <c r="K336" s="241" t="str">
        <f>IFERROR(VLOOKUP($I336,'Institution Evaluation'!$A$55:$F$345,3,0),IFERROR(VLOOKUP($I336,'Privacy Analyst Evaluation'!$A$46:$F$120,3,0),""))&amp;""</f>
        <v/>
      </c>
      <c r="L336" s="241" t="str">
        <f>IFERROR(VLOOKUP($I336,'Institution Evaluation'!$A$55:$F$345,4,0),IFERROR(VLOOKUP($I336,'Privacy Analyst Evaluation'!$A$46:$F$120,4,0),""))&amp;""</f>
        <v/>
      </c>
      <c r="M336" s="241" t="str">
        <f>IFERROR(VLOOKUP($I336,'Institution Evaluation'!$A$55:$F$345,6,0),IFERROR(VLOOKUP($I336,'Privacy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ht="17" x14ac:dyDescent="0.2">
      <c r="A337" s="241" t="str">
        <f>IFERROR(IF($A336+1&gt;'(backend scoring)'!$T$335,"",$A336+1),"")</f>
        <v/>
      </c>
      <c r="B337" s="241" t="str">
        <f>_xlfn.XLOOKUP($A337,'(backend scoring)'!$V$2:$V$333,'(backend scoring)'!$A$2:$A$333,"")</f>
        <v/>
      </c>
      <c r="C337" s="241" t="str">
        <f>IFERROR(VLOOKUP($B337,'Institution Evaluation'!$A$55:$F$345,2,0),IFERROR(VLOOKUP($B337,'Privacy Analyst Evaluation'!$A$46:$F$120,2,0),""))&amp;""</f>
        <v/>
      </c>
      <c r="D337" s="241" t="str">
        <f>IFERROR(VLOOKUP($B337,'Institution Evaluation'!$A$55:$F$345,3,0),IFERROR(VLOOKUP($B337,'Privacy Analyst Evaluation'!$A$46:$F$120,3,0),""))&amp;""</f>
        <v/>
      </c>
      <c r="E337" s="241" t="str">
        <f>IFERROR(VLOOKUP($B337,'Institution Evaluation'!$A$55:$F$345,4,0),IFERROR(VLOOKUP($B337,'Privacy Analyst Evaluation'!$A$46:$F$120,4,0),""))&amp;""</f>
        <v/>
      </c>
      <c r="F337" s="241" t="str">
        <f>IFERROR(VLOOKUP($B337,'Institution Evaluation'!$A$55:$F$345,6,0),IFERROR(VLOOKUP($B337,'Privacy Analyst Evaluation'!$A$46:$F$120,6,0),""))&amp;""</f>
        <v/>
      </c>
      <c r="G337" s="242"/>
      <c r="H337" s="241" t="str">
        <f>IFERROR(IF($H336+1&gt;'(backend scoring)'!$Q$335,"",$H336+1),"")</f>
        <v/>
      </c>
      <c r="I337" s="241" t="str">
        <f>_xlfn.XLOOKUP($H337,'(backend scoring)'!$S$2:$S$333,'(backend scoring)'!$A$2:$A$333,"")</f>
        <v/>
      </c>
      <c r="J337" s="241" t="str">
        <f>IFERROR(VLOOKUP($I337,'Institution Evaluation'!$A$55:$F$345,2,0),IFERROR(VLOOKUP($I337,'Privacy Analyst Evaluation'!$A$46:$F$120,2,0),""))</f>
        <v/>
      </c>
      <c r="K337" s="241" t="str">
        <f>IFERROR(VLOOKUP($I337,'Institution Evaluation'!$A$55:$F$345,3,0),IFERROR(VLOOKUP($I337,'Privacy Analyst Evaluation'!$A$46:$F$120,3,0),""))&amp;""</f>
        <v/>
      </c>
      <c r="L337" s="241" t="str">
        <f>IFERROR(VLOOKUP($I337,'Institution Evaluation'!$A$55:$F$345,4,0),IFERROR(VLOOKUP($I337,'Privacy Analyst Evaluation'!$A$46:$F$120,4,0),""))&amp;""</f>
        <v/>
      </c>
      <c r="M337" s="241" t="str">
        <f>IFERROR(VLOOKUP($I337,'Institution Evaluation'!$A$55:$F$345,6,0),IFERROR(VLOOKUP($I337,'Privacy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ht="17" x14ac:dyDescent="0.2">
      <c r="A338" s="241" t="str">
        <f>IFERROR(IF($A337+1&gt;'(backend scoring)'!$T$335,"",$A337+1),"")</f>
        <v/>
      </c>
      <c r="B338" s="241" t="str">
        <f>_xlfn.XLOOKUP($A338,'(backend scoring)'!$V$2:$V$333,'(backend scoring)'!$A$2:$A$333,"")</f>
        <v/>
      </c>
      <c r="C338" s="241" t="str">
        <f>IFERROR(VLOOKUP($B338,'Institution Evaluation'!$A$55:$F$345,2,0),IFERROR(VLOOKUP($B338,'Privacy Analyst Evaluation'!$A$46:$F$120,2,0),""))&amp;""</f>
        <v/>
      </c>
      <c r="D338" s="241" t="str">
        <f>IFERROR(VLOOKUP($B338,'Institution Evaluation'!$A$55:$F$345,3,0),IFERROR(VLOOKUP($B338,'Privacy Analyst Evaluation'!$A$46:$F$120,3,0),""))&amp;""</f>
        <v/>
      </c>
      <c r="E338" s="241" t="str">
        <f>IFERROR(VLOOKUP($B338,'Institution Evaluation'!$A$55:$F$345,4,0),IFERROR(VLOOKUP($B338,'Privacy Analyst Evaluation'!$A$46:$F$120,4,0),""))&amp;""</f>
        <v/>
      </c>
      <c r="F338" s="241" t="str">
        <f>IFERROR(VLOOKUP($B338,'Institution Evaluation'!$A$55:$F$345,6,0),IFERROR(VLOOKUP($B338,'Privacy Analyst Evaluation'!$A$46:$F$120,6,0),""))&amp;""</f>
        <v/>
      </c>
      <c r="G338" s="242"/>
      <c r="H338" s="241" t="str">
        <f>IFERROR(IF($H337+1&gt;'(backend scoring)'!$Q$335,"",$H337+1),"")</f>
        <v/>
      </c>
      <c r="I338" s="241" t="str">
        <f>_xlfn.XLOOKUP($H338,'(backend scoring)'!$S$2:$S$333,'(backend scoring)'!$A$2:$A$333,"")</f>
        <v/>
      </c>
      <c r="J338" s="241" t="str">
        <f>IFERROR(VLOOKUP($I338,'Institution Evaluation'!$A$55:$F$345,2,0),IFERROR(VLOOKUP($I338,'Privacy Analyst Evaluation'!$A$46:$F$120,2,0),""))</f>
        <v/>
      </c>
      <c r="K338" s="241" t="str">
        <f>IFERROR(VLOOKUP($I338,'Institution Evaluation'!$A$55:$F$345,3,0),IFERROR(VLOOKUP($I338,'Privacy Analyst Evaluation'!$A$46:$F$120,3,0),""))&amp;""</f>
        <v/>
      </c>
      <c r="L338" s="241" t="str">
        <f>IFERROR(VLOOKUP($I338,'Institution Evaluation'!$A$55:$F$345,4,0),IFERROR(VLOOKUP($I338,'Privacy Analyst Evaluation'!$A$46:$F$120,4,0),""))&amp;""</f>
        <v/>
      </c>
      <c r="M338" s="241" t="str">
        <f>IFERROR(VLOOKUP($I338,'Institution Evaluation'!$A$55:$F$345,6,0),IFERROR(VLOOKUP($I338,'Privacy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ht="17" x14ac:dyDescent="0.2">
      <c r="A339" s="241" t="str">
        <f>IFERROR(IF($A338+1&gt;'(backend scoring)'!$T$335,"",$A338+1),"")</f>
        <v/>
      </c>
      <c r="B339" s="241" t="str">
        <f>_xlfn.XLOOKUP($A339,'(backend scoring)'!$V$2:$V$333,'(backend scoring)'!$A$2:$A$333,"")</f>
        <v/>
      </c>
      <c r="C339" s="241" t="str">
        <f>IFERROR(VLOOKUP($B339,'Institution Evaluation'!$A$55:$F$345,2,0),IFERROR(VLOOKUP($B339,'Privacy Analyst Evaluation'!$A$46:$F$120,2,0),""))&amp;""</f>
        <v/>
      </c>
      <c r="D339" s="241" t="str">
        <f>IFERROR(VLOOKUP($B339,'Institution Evaluation'!$A$55:$F$345,3,0),IFERROR(VLOOKUP($B339,'Privacy Analyst Evaluation'!$A$46:$F$120,3,0),""))&amp;""</f>
        <v/>
      </c>
      <c r="E339" s="241" t="str">
        <f>IFERROR(VLOOKUP($B339,'Institution Evaluation'!$A$55:$F$345,4,0),IFERROR(VLOOKUP($B339,'Privacy Analyst Evaluation'!$A$46:$F$120,4,0),""))&amp;""</f>
        <v/>
      </c>
      <c r="F339" s="241" t="str">
        <f>IFERROR(VLOOKUP($B339,'Institution Evaluation'!$A$55:$F$345,6,0),IFERROR(VLOOKUP($B339,'Privacy Analyst Evaluation'!$A$46:$F$120,6,0),""))&amp;""</f>
        <v/>
      </c>
      <c r="G339" s="242"/>
      <c r="H339" s="241" t="str">
        <f>IFERROR(IF($H338+1&gt;'(backend scoring)'!$Q$335,"",$H338+1),"")</f>
        <v/>
      </c>
      <c r="I339" s="241" t="str">
        <f>_xlfn.XLOOKUP($H339,'(backend scoring)'!$S$2:$S$333,'(backend scoring)'!$A$2:$A$333,"")</f>
        <v/>
      </c>
      <c r="J339" s="241" t="str">
        <f>IFERROR(VLOOKUP($I339,'Institution Evaluation'!$A$55:$F$345,2,0),IFERROR(VLOOKUP($I339,'Privacy Analyst Evaluation'!$A$46:$F$120,2,0),""))</f>
        <v/>
      </c>
      <c r="K339" s="241" t="str">
        <f>IFERROR(VLOOKUP($I339,'Institution Evaluation'!$A$55:$F$345,3,0),IFERROR(VLOOKUP($I339,'Privacy Analyst Evaluation'!$A$46:$F$120,3,0),""))&amp;""</f>
        <v/>
      </c>
      <c r="L339" s="241" t="str">
        <f>IFERROR(VLOOKUP($I339,'Institution Evaluation'!$A$55:$F$345,4,0),IFERROR(VLOOKUP($I339,'Privacy Analyst Evaluation'!$A$46:$F$120,4,0),""))&amp;""</f>
        <v/>
      </c>
      <c r="M339" s="241" t="str">
        <f>IFERROR(VLOOKUP($I339,'Institution Evaluation'!$A$55:$F$345,6,0),IFERROR(VLOOKUP($I339,'Privacy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ht="17" x14ac:dyDescent="0.2">
      <c r="A340" s="241" t="str">
        <f>IFERROR(IF($A339+1&gt;'(backend scoring)'!$T$335,"",$A339+1),"")</f>
        <v/>
      </c>
      <c r="B340" s="241" t="str">
        <f>_xlfn.XLOOKUP($A340,'(backend scoring)'!$V$2:$V$333,'(backend scoring)'!$A$2:$A$333,"")</f>
        <v/>
      </c>
      <c r="C340" s="241" t="str">
        <f>IFERROR(VLOOKUP($B340,'Institution Evaluation'!$A$55:$F$345,2,0),IFERROR(VLOOKUP($B340,'Privacy Analyst Evaluation'!$A$46:$F$120,2,0),""))&amp;""</f>
        <v/>
      </c>
      <c r="D340" s="241" t="str">
        <f>IFERROR(VLOOKUP($B340,'Institution Evaluation'!$A$55:$F$345,3,0),IFERROR(VLOOKUP($B340,'Privacy Analyst Evaluation'!$A$46:$F$120,3,0),""))&amp;""</f>
        <v/>
      </c>
      <c r="E340" s="241" t="str">
        <f>IFERROR(VLOOKUP($B340,'Institution Evaluation'!$A$55:$F$345,4,0),IFERROR(VLOOKUP($B340,'Privacy Analyst Evaluation'!$A$46:$F$120,4,0),""))&amp;""</f>
        <v/>
      </c>
      <c r="F340" s="241" t="str">
        <f>IFERROR(VLOOKUP($B340,'Institution Evaluation'!$A$55:$F$345,6,0),IFERROR(VLOOKUP($B340,'Privacy Analyst Evaluation'!$A$46:$F$120,6,0),""))&amp;""</f>
        <v/>
      </c>
      <c r="G340" s="242"/>
      <c r="H340" s="241" t="str">
        <f>IFERROR(IF($H339+1&gt;'(backend scoring)'!$Q$335,"",$H339+1),"")</f>
        <v/>
      </c>
      <c r="I340" s="241" t="str">
        <f>_xlfn.XLOOKUP($H340,'(backend scoring)'!$S$2:$S$333,'(backend scoring)'!$A$2:$A$333,"")</f>
        <v/>
      </c>
      <c r="J340" s="241" t="str">
        <f>IFERROR(VLOOKUP($I340,'Institution Evaluation'!$A$55:$F$345,2,0),IFERROR(VLOOKUP($I340,'Privacy Analyst Evaluation'!$A$46:$F$120,2,0),""))</f>
        <v/>
      </c>
      <c r="K340" s="241" t="str">
        <f>IFERROR(VLOOKUP($I340,'Institution Evaluation'!$A$55:$F$345,3,0),IFERROR(VLOOKUP($I340,'Privacy Analyst Evaluation'!$A$46:$F$120,3,0),""))&amp;""</f>
        <v/>
      </c>
      <c r="L340" s="241" t="str">
        <f>IFERROR(VLOOKUP($I340,'Institution Evaluation'!$A$55:$F$345,4,0),IFERROR(VLOOKUP($I340,'Privacy Analyst Evaluation'!$A$46:$F$120,4,0),""))&amp;""</f>
        <v/>
      </c>
      <c r="M340" s="241" t="str">
        <f>IFERROR(VLOOKUP($I340,'Institution Evaluation'!$A$55:$F$345,6,0),IFERROR(VLOOKUP($I340,'Privacy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ht="17" x14ac:dyDescent="0.2">
      <c r="A341" s="241" t="str">
        <f>IFERROR(IF($A340+1&gt;'(backend scoring)'!$T$335,"",$A340+1),"")</f>
        <v/>
      </c>
      <c r="B341" s="241" t="str">
        <f>_xlfn.XLOOKUP($A341,'(backend scoring)'!$V$2:$V$333,'(backend scoring)'!$A$2:$A$333,"")</f>
        <v/>
      </c>
      <c r="C341" s="241" t="str">
        <f>IFERROR(VLOOKUP($B341,'Institution Evaluation'!$A$55:$F$345,2,0),IFERROR(VLOOKUP($B341,'Privacy Analyst Evaluation'!$A$46:$F$120,2,0),""))&amp;""</f>
        <v/>
      </c>
      <c r="D341" s="241" t="str">
        <f>IFERROR(VLOOKUP($B341,'Institution Evaluation'!$A$55:$F$345,3,0),IFERROR(VLOOKUP($B341,'Privacy Analyst Evaluation'!$A$46:$F$120,3,0),""))&amp;""</f>
        <v/>
      </c>
      <c r="E341" s="241" t="str">
        <f>IFERROR(VLOOKUP($B341,'Institution Evaluation'!$A$55:$F$345,4,0),IFERROR(VLOOKUP($B341,'Privacy Analyst Evaluation'!$A$46:$F$120,4,0),""))&amp;""</f>
        <v/>
      </c>
      <c r="F341" s="241" t="str">
        <f>IFERROR(VLOOKUP($B341,'Institution Evaluation'!$A$55:$F$345,6,0),IFERROR(VLOOKUP($B341,'Privacy Analyst Evaluation'!$A$46:$F$120,6,0),""))&amp;""</f>
        <v/>
      </c>
      <c r="G341" s="242"/>
      <c r="H341" s="241" t="str">
        <f>IFERROR(IF($H340+1&gt;'(backend scoring)'!$Q$335,"",$H340+1),"")</f>
        <v/>
      </c>
      <c r="I341" s="241" t="str">
        <f>_xlfn.XLOOKUP($H341,'(backend scoring)'!$S$2:$S$333,'(backend scoring)'!$A$2:$A$333,"")</f>
        <v/>
      </c>
      <c r="J341" s="241" t="str">
        <f>IFERROR(VLOOKUP($I341,'Institution Evaluation'!$A$55:$F$345,2,0),IFERROR(VLOOKUP($I341,'Privacy Analyst Evaluation'!$A$46:$F$120,2,0),""))</f>
        <v/>
      </c>
      <c r="K341" s="241" t="str">
        <f>IFERROR(VLOOKUP($I341,'Institution Evaluation'!$A$55:$F$345,3,0),IFERROR(VLOOKUP($I341,'Privacy Analyst Evaluation'!$A$46:$F$120,3,0),""))&amp;""</f>
        <v/>
      </c>
      <c r="L341" s="241" t="str">
        <f>IFERROR(VLOOKUP($I341,'Institution Evaluation'!$A$55:$F$345,4,0),IFERROR(VLOOKUP($I341,'Privacy Analyst Evaluation'!$A$46:$F$120,4,0),""))&amp;""</f>
        <v/>
      </c>
      <c r="M341" s="241" t="str">
        <f>IFERROR(VLOOKUP($I341,'Institution Evaluation'!$A$55:$F$345,6,0),IFERROR(VLOOKUP($I341,'Privacy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ht="17" x14ac:dyDescent="0.2">
      <c r="A342" s="241" t="str">
        <f>IFERROR(IF($A341+1&gt;'(backend scoring)'!$T$335,"",$A341+1),"")</f>
        <v/>
      </c>
      <c r="B342" s="241" t="str">
        <f>_xlfn.XLOOKUP($A342,'(backend scoring)'!$V$2:$V$333,'(backend scoring)'!$A$2:$A$333,"")</f>
        <v/>
      </c>
      <c r="C342" s="241" t="str">
        <f>IFERROR(VLOOKUP($B342,'Institution Evaluation'!$A$55:$F$345,2,0),IFERROR(VLOOKUP($B342,'Privacy Analyst Evaluation'!$A$46:$F$120,2,0),""))&amp;""</f>
        <v/>
      </c>
      <c r="D342" s="241" t="str">
        <f>IFERROR(VLOOKUP($B342,'Institution Evaluation'!$A$55:$F$345,3,0),IFERROR(VLOOKUP($B342,'Privacy Analyst Evaluation'!$A$46:$F$120,3,0),""))&amp;""</f>
        <v/>
      </c>
      <c r="E342" s="241" t="str">
        <f>IFERROR(VLOOKUP($B342,'Institution Evaluation'!$A$55:$F$345,4,0),IFERROR(VLOOKUP($B342,'Privacy Analyst Evaluation'!$A$46:$F$120,4,0),""))&amp;""</f>
        <v/>
      </c>
      <c r="F342" s="241" t="str">
        <f>IFERROR(VLOOKUP($B342,'Institution Evaluation'!$A$55:$F$345,6,0),IFERROR(VLOOKUP($B342,'Privacy Analyst Evaluation'!$A$46:$F$120,6,0),""))&amp;""</f>
        <v/>
      </c>
      <c r="G342" s="242"/>
      <c r="H342" s="241" t="str">
        <f>IFERROR(IF($H341+1&gt;'(backend scoring)'!$Q$335,"",$H341+1),"")</f>
        <v/>
      </c>
      <c r="I342" s="241" t="str">
        <f>_xlfn.XLOOKUP($H342,'(backend scoring)'!$S$2:$S$333,'(backend scoring)'!$A$2:$A$333,"")</f>
        <v/>
      </c>
      <c r="J342" s="241" t="str">
        <f>IFERROR(VLOOKUP($I342,'Institution Evaluation'!$A$55:$F$345,2,0),IFERROR(VLOOKUP($I342,'Privacy Analyst Evaluation'!$A$46:$F$120,2,0),""))</f>
        <v/>
      </c>
      <c r="K342" s="241" t="str">
        <f>IFERROR(VLOOKUP($I342,'Institution Evaluation'!$A$55:$F$345,3,0),IFERROR(VLOOKUP($I342,'Privacy Analyst Evaluation'!$A$46:$F$120,3,0),""))&amp;""</f>
        <v/>
      </c>
      <c r="L342" s="241" t="str">
        <f>IFERROR(VLOOKUP($I342,'Institution Evaluation'!$A$55:$F$345,4,0),IFERROR(VLOOKUP($I342,'Privacy Analyst Evaluation'!$A$46:$F$120,4,0),""))&amp;""</f>
        <v/>
      </c>
      <c r="M342" s="241" t="str">
        <f>IFERROR(VLOOKUP($I342,'Institution Evaluation'!$A$55:$F$345,6,0),IFERROR(VLOOKUP($I342,'Privacy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ht="17" x14ac:dyDescent="0.2">
      <c r="A343" s="241" t="str">
        <f>IFERROR(IF($A342+1&gt;'(backend scoring)'!$T$335,"",$A342+1),"")</f>
        <v/>
      </c>
      <c r="B343" s="241" t="str">
        <f>_xlfn.XLOOKUP($A343,'(backend scoring)'!$V$2:$V$333,'(backend scoring)'!$A$2:$A$333,"")</f>
        <v/>
      </c>
      <c r="C343" s="241" t="str">
        <f>IFERROR(VLOOKUP($B343,'Institution Evaluation'!$A$55:$F$345,2,0),IFERROR(VLOOKUP($B343,'Privacy Analyst Evaluation'!$A$46:$F$120,2,0),""))&amp;""</f>
        <v/>
      </c>
      <c r="D343" s="241" t="str">
        <f>IFERROR(VLOOKUP($B343,'Institution Evaluation'!$A$55:$F$345,3,0),IFERROR(VLOOKUP($B343,'Privacy Analyst Evaluation'!$A$46:$F$120,3,0),""))&amp;""</f>
        <v/>
      </c>
      <c r="E343" s="241" t="str">
        <f>IFERROR(VLOOKUP($B343,'Institution Evaluation'!$A$55:$F$345,4,0),IFERROR(VLOOKUP($B343,'Privacy Analyst Evaluation'!$A$46:$F$120,4,0),""))&amp;""</f>
        <v/>
      </c>
      <c r="F343" s="241" t="str">
        <f>IFERROR(VLOOKUP($B343,'Institution Evaluation'!$A$55:$F$345,6,0),IFERROR(VLOOKUP($B343,'Privacy Analyst Evaluation'!$A$46:$F$120,6,0),""))&amp;""</f>
        <v/>
      </c>
      <c r="G343" s="242"/>
      <c r="H343" s="241" t="str">
        <f>IFERROR(IF($H342+1&gt;'(backend scoring)'!$Q$335,"",$H342+1),"")</f>
        <v/>
      </c>
      <c r="I343" s="241" t="str">
        <f>_xlfn.XLOOKUP($H343,'(backend scoring)'!$S$2:$S$333,'(backend scoring)'!$A$2:$A$333,"")</f>
        <v/>
      </c>
      <c r="J343" s="241" t="str">
        <f>IFERROR(VLOOKUP($I343,'Institution Evaluation'!$A$55:$F$345,2,0),IFERROR(VLOOKUP($I343,'Privacy Analyst Evaluation'!$A$46:$F$120,2,0),""))</f>
        <v/>
      </c>
      <c r="K343" s="241" t="str">
        <f>IFERROR(VLOOKUP($I343,'Institution Evaluation'!$A$55:$F$345,3,0),IFERROR(VLOOKUP($I343,'Privacy Analyst Evaluation'!$A$46:$F$120,3,0),""))&amp;""</f>
        <v/>
      </c>
      <c r="L343" s="241" t="str">
        <f>IFERROR(VLOOKUP($I343,'Institution Evaluation'!$A$55:$F$345,4,0),IFERROR(VLOOKUP($I343,'Privacy Analyst Evaluation'!$A$46:$F$120,4,0),""))&amp;""</f>
        <v/>
      </c>
      <c r="M343" s="241" t="str">
        <f>IFERROR(VLOOKUP($I343,'Institution Evaluation'!$A$55:$F$345,6,0),IFERROR(VLOOKUP($I343,'Privacy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ht="17" x14ac:dyDescent="0.2">
      <c r="A344" s="241" t="str">
        <f>IFERROR(IF($A343+1&gt;'(backend scoring)'!$T$335,"",$A343+1),"")</f>
        <v/>
      </c>
      <c r="B344" s="241" t="str">
        <f>_xlfn.XLOOKUP($A344,'(backend scoring)'!$V$2:$V$333,'(backend scoring)'!$A$2:$A$333,"")</f>
        <v/>
      </c>
      <c r="C344" s="241" t="str">
        <f>IFERROR(VLOOKUP($B344,'Institution Evaluation'!$A$55:$F$345,2,0),IFERROR(VLOOKUP($B344,'Privacy Analyst Evaluation'!$A$46:$F$120,2,0),""))&amp;""</f>
        <v/>
      </c>
      <c r="D344" s="241" t="str">
        <f>IFERROR(VLOOKUP($B344,'Institution Evaluation'!$A$55:$F$345,3,0),IFERROR(VLOOKUP($B344,'Privacy Analyst Evaluation'!$A$46:$F$120,3,0),""))&amp;""</f>
        <v/>
      </c>
      <c r="E344" s="241" t="str">
        <f>IFERROR(VLOOKUP($B344,'Institution Evaluation'!$A$55:$F$345,4,0),IFERROR(VLOOKUP($B344,'Privacy Analyst Evaluation'!$A$46:$F$120,4,0),""))&amp;""</f>
        <v/>
      </c>
      <c r="F344" s="241" t="str">
        <f>IFERROR(VLOOKUP($B344,'Institution Evaluation'!$A$55:$F$345,6,0),IFERROR(VLOOKUP($B344,'Privacy Analyst Evaluation'!$A$46:$F$120,6,0),""))&amp;""</f>
        <v/>
      </c>
      <c r="G344" s="242"/>
      <c r="H344" s="241" t="str">
        <f>IFERROR(IF($H343+1&gt;'(backend scoring)'!$Q$335,"",$H343+1),"")</f>
        <v/>
      </c>
      <c r="I344" s="241" t="str">
        <f>_xlfn.XLOOKUP($H344,'(backend scoring)'!$S$2:$S$333,'(backend scoring)'!$A$2:$A$333,"")</f>
        <v/>
      </c>
      <c r="J344" s="241" t="str">
        <f>IFERROR(VLOOKUP($I344,'Institution Evaluation'!$A$55:$F$345,2,0),IFERROR(VLOOKUP($I344,'Privacy Analyst Evaluation'!$A$46:$F$120,2,0),""))</f>
        <v/>
      </c>
      <c r="K344" s="241" t="str">
        <f>IFERROR(VLOOKUP($I344,'Institution Evaluation'!$A$55:$F$345,3,0),IFERROR(VLOOKUP($I344,'Privacy Analyst Evaluation'!$A$46:$F$120,3,0),""))&amp;""</f>
        <v/>
      </c>
      <c r="L344" s="241" t="str">
        <f>IFERROR(VLOOKUP($I344,'Institution Evaluation'!$A$55:$F$345,4,0),IFERROR(VLOOKUP($I344,'Privacy Analyst Evaluation'!$A$46:$F$120,4,0),""))&amp;""</f>
        <v/>
      </c>
      <c r="M344" s="241" t="str">
        <f>IFERROR(VLOOKUP($I344,'Institution Evaluation'!$A$55:$F$345,6,0),IFERROR(VLOOKUP($I344,'Privacy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ht="17" x14ac:dyDescent="0.2">
      <c r="A345" s="241" t="str">
        <f>IFERROR(IF($A344+1&gt;'(backend scoring)'!$T$335,"",$A344+1),"")</f>
        <v/>
      </c>
      <c r="B345" s="241" t="str">
        <f>_xlfn.XLOOKUP($A345,'(backend scoring)'!$V$2:$V$333,'(backend scoring)'!$A$2:$A$333,"")</f>
        <v/>
      </c>
      <c r="C345" s="241" t="str">
        <f>IFERROR(VLOOKUP($B345,'Institution Evaluation'!$A$55:$F$345,2,0),IFERROR(VLOOKUP($B345,'Privacy Analyst Evaluation'!$A$46:$F$120,2,0),""))&amp;""</f>
        <v/>
      </c>
      <c r="D345" s="241" t="str">
        <f>IFERROR(VLOOKUP($B345,'Institution Evaluation'!$A$55:$F$345,3,0),IFERROR(VLOOKUP($B345,'Privacy Analyst Evaluation'!$A$46:$F$120,3,0),""))&amp;""</f>
        <v/>
      </c>
      <c r="E345" s="241" t="str">
        <f>IFERROR(VLOOKUP($B345,'Institution Evaluation'!$A$55:$F$345,4,0),IFERROR(VLOOKUP($B345,'Privacy Analyst Evaluation'!$A$46:$F$120,4,0),""))&amp;""</f>
        <v/>
      </c>
      <c r="F345" s="241" t="str">
        <f>IFERROR(VLOOKUP($B345,'Institution Evaluation'!$A$55:$F$345,6,0),IFERROR(VLOOKUP($B345,'Privacy Analyst Evaluation'!$A$46:$F$120,6,0),""))&amp;""</f>
        <v/>
      </c>
      <c r="G345" s="242"/>
      <c r="H345" s="241" t="str">
        <f>IFERROR(IF($H344+1&gt;'(backend scoring)'!$Q$335,"",$H344+1),"")</f>
        <v/>
      </c>
      <c r="I345" s="241" t="str">
        <f>_xlfn.XLOOKUP($H345,'(backend scoring)'!$S$2:$S$333,'(backend scoring)'!$A$2:$A$333,"")</f>
        <v/>
      </c>
      <c r="J345" s="241" t="str">
        <f>IFERROR(VLOOKUP($I345,'Institution Evaluation'!$A$55:$F$345,2,0),IFERROR(VLOOKUP($I345,'Privacy Analyst Evaluation'!$A$46:$F$120,2,0),""))</f>
        <v/>
      </c>
      <c r="K345" s="241" t="str">
        <f>IFERROR(VLOOKUP($I345,'Institution Evaluation'!$A$55:$F$345,3,0),IFERROR(VLOOKUP($I345,'Privacy Analyst Evaluation'!$A$46:$F$120,3,0),""))&amp;""</f>
        <v/>
      </c>
      <c r="L345" s="241" t="str">
        <f>IFERROR(VLOOKUP($I345,'Institution Evaluation'!$A$55:$F$345,4,0),IFERROR(VLOOKUP($I345,'Privacy Analyst Evaluation'!$A$46:$F$120,4,0),""))&amp;""</f>
        <v/>
      </c>
      <c r="M345" s="241" t="str">
        <f>IFERROR(VLOOKUP($I345,'Institution Evaluation'!$A$55:$F$345,6,0),IFERROR(VLOOKUP($I345,'Privacy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ht="17" x14ac:dyDescent="0.2">
      <c r="A346" s="241" t="str">
        <f>IFERROR(IF($A345+1&gt;'(backend scoring)'!$T$335,"",$A345+1),"")</f>
        <v/>
      </c>
      <c r="B346" s="241" t="str">
        <f>_xlfn.XLOOKUP($A346,'(backend scoring)'!$V$2:$V$333,'(backend scoring)'!$A$2:$A$333,"")</f>
        <v/>
      </c>
      <c r="C346" s="241" t="str">
        <f>IFERROR(VLOOKUP($B346,'Institution Evaluation'!$A$55:$F$345,2,0),IFERROR(VLOOKUP($B346,'Privacy Analyst Evaluation'!$A$46:$F$120,2,0),""))&amp;""</f>
        <v/>
      </c>
      <c r="D346" s="241" t="str">
        <f>IFERROR(VLOOKUP($B346,'Institution Evaluation'!$A$55:$F$345,3,0),IFERROR(VLOOKUP($B346,'Privacy Analyst Evaluation'!$A$46:$F$120,3,0),""))&amp;""</f>
        <v/>
      </c>
      <c r="E346" s="241" t="str">
        <f>IFERROR(VLOOKUP($B346,'Institution Evaluation'!$A$55:$F$345,4,0),IFERROR(VLOOKUP($B346,'Privacy Analyst Evaluation'!$A$46:$F$120,4,0),""))&amp;""</f>
        <v/>
      </c>
      <c r="F346" s="241" t="str">
        <f>IFERROR(VLOOKUP($B346,'Institution Evaluation'!$A$55:$F$345,6,0),IFERROR(VLOOKUP($B346,'Privacy Analyst Evaluation'!$A$46:$F$120,6,0),""))&amp;""</f>
        <v/>
      </c>
      <c r="G346" s="242"/>
      <c r="H346" s="241" t="str">
        <f>IFERROR(IF($H345+1&gt;'(backend scoring)'!$Q$335,"",$H345+1),"")</f>
        <v/>
      </c>
      <c r="I346" s="241" t="str">
        <f>_xlfn.XLOOKUP($H346,'(backend scoring)'!$S$2:$S$333,'(backend scoring)'!$A$2:$A$333,"")</f>
        <v/>
      </c>
      <c r="J346" s="241" t="str">
        <f>IFERROR(VLOOKUP($I346,'Institution Evaluation'!$A$55:$F$345,2,0),IFERROR(VLOOKUP($I346,'Privacy Analyst Evaluation'!$A$46:$F$120,2,0),""))</f>
        <v/>
      </c>
      <c r="K346" s="241" t="str">
        <f>IFERROR(VLOOKUP($I346,'Institution Evaluation'!$A$55:$F$345,3,0),IFERROR(VLOOKUP($I346,'Privacy Analyst Evaluation'!$A$46:$F$120,3,0),""))&amp;""</f>
        <v/>
      </c>
      <c r="L346" s="241" t="str">
        <f>IFERROR(VLOOKUP($I346,'Institution Evaluation'!$A$55:$F$345,4,0),IFERROR(VLOOKUP($I346,'Privacy Analyst Evaluation'!$A$46:$F$120,4,0),""))&amp;""</f>
        <v/>
      </c>
      <c r="M346" s="241" t="str">
        <f>IFERROR(VLOOKUP($I346,'Institution Evaluation'!$A$55:$F$345,6,0),IFERROR(VLOOKUP($I346,'Privacy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ht="17" x14ac:dyDescent="0.2">
      <c r="A347" s="241" t="str">
        <f>IFERROR(IF($A346+1&gt;'(backend scoring)'!$T$335,"",$A346+1),"")</f>
        <v/>
      </c>
      <c r="B347" s="241" t="str">
        <f>_xlfn.XLOOKUP($A347,'(backend scoring)'!$V$2:$V$333,'(backend scoring)'!$A$2:$A$333,"")</f>
        <v/>
      </c>
      <c r="C347" s="241" t="str">
        <f>IFERROR(VLOOKUP($B347,'Institution Evaluation'!$A$55:$F$345,2,0),IFERROR(VLOOKUP($B347,'Privacy Analyst Evaluation'!$A$46:$F$120,2,0),""))&amp;""</f>
        <v/>
      </c>
      <c r="D347" s="241" t="str">
        <f>IFERROR(VLOOKUP($B347,'Institution Evaluation'!$A$55:$F$345,3,0),IFERROR(VLOOKUP($B347,'Privacy Analyst Evaluation'!$A$46:$F$120,3,0),""))&amp;""</f>
        <v/>
      </c>
      <c r="E347" s="241" t="str">
        <f>IFERROR(VLOOKUP($B347,'Institution Evaluation'!$A$55:$F$345,4,0),IFERROR(VLOOKUP($B347,'Privacy Analyst Evaluation'!$A$46:$F$120,4,0),""))&amp;""</f>
        <v/>
      </c>
      <c r="F347" s="241" t="str">
        <f>IFERROR(VLOOKUP($B347,'Institution Evaluation'!$A$55:$F$345,6,0),IFERROR(VLOOKUP($B347,'Privacy Analyst Evaluation'!$A$46:$F$120,6,0),""))&amp;""</f>
        <v/>
      </c>
      <c r="G347" s="242"/>
      <c r="H347" s="241" t="str">
        <f>IFERROR(IF($H346+1&gt;'(backend scoring)'!$Q$335,"",$H346+1),"")</f>
        <v/>
      </c>
      <c r="I347" s="241" t="str">
        <f>_xlfn.XLOOKUP($H347,'(backend scoring)'!$S$2:$S$333,'(backend scoring)'!$A$2:$A$333,"")</f>
        <v/>
      </c>
      <c r="J347" s="241" t="str">
        <f>IFERROR(VLOOKUP($I347,'Institution Evaluation'!$A$55:$F$345,2,0),IFERROR(VLOOKUP($I347,'Privacy Analyst Evaluation'!$A$46:$F$120,2,0),""))</f>
        <v/>
      </c>
      <c r="K347" s="241" t="str">
        <f>IFERROR(VLOOKUP($I347,'Institution Evaluation'!$A$55:$F$345,3,0),IFERROR(VLOOKUP($I347,'Privacy Analyst Evaluation'!$A$46:$F$120,3,0),""))&amp;""</f>
        <v/>
      </c>
      <c r="L347" s="241" t="str">
        <f>IFERROR(VLOOKUP($I347,'Institution Evaluation'!$A$55:$F$345,4,0),IFERROR(VLOOKUP($I347,'Privacy Analyst Evaluation'!$A$46:$F$120,4,0),""))&amp;""</f>
        <v/>
      </c>
      <c r="M347" s="241" t="str">
        <f>IFERROR(VLOOKUP($I347,'Institution Evaluation'!$A$55:$F$345,6,0),IFERROR(VLOOKUP($I347,'Privacy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ht="17" x14ac:dyDescent="0.2">
      <c r="A348" s="241" t="str">
        <f>IFERROR(IF($A347+1&gt;'(backend scoring)'!$T$335,"",$A347+1),"")</f>
        <v/>
      </c>
      <c r="B348" s="241" t="str">
        <f>_xlfn.XLOOKUP($A348,'(backend scoring)'!$V$2:$V$333,'(backend scoring)'!$A$2:$A$333,"")</f>
        <v/>
      </c>
      <c r="C348" s="241" t="str">
        <f>IFERROR(VLOOKUP($B348,'Institution Evaluation'!$A$55:$F$345,2,0),IFERROR(VLOOKUP($B348,'Privacy Analyst Evaluation'!$A$46:$F$120,2,0),""))&amp;""</f>
        <v/>
      </c>
      <c r="D348" s="241" t="str">
        <f>IFERROR(VLOOKUP($B348,'Institution Evaluation'!$A$55:$F$345,3,0),IFERROR(VLOOKUP($B348,'Privacy Analyst Evaluation'!$A$46:$F$120,3,0),""))&amp;""</f>
        <v/>
      </c>
      <c r="E348" s="241" t="str">
        <f>IFERROR(VLOOKUP($B348,'Institution Evaluation'!$A$55:$F$345,4,0),IFERROR(VLOOKUP($B348,'Privacy Analyst Evaluation'!$A$46:$F$120,4,0),""))&amp;""</f>
        <v/>
      </c>
      <c r="F348" s="241" t="str">
        <f>IFERROR(VLOOKUP($B348,'Institution Evaluation'!$A$55:$F$345,6,0),IFERROR(VLOOKUP($B348,'Privacy Analyst Evaluation'!$A$46:$F$120,6,0),""))&amp;""</f>
        <v/>
      </c>
      <c r="G348" s="242"/>
      <c r="H348" s="241" t="str">
        <f>IFERROR(IF($H347+1&gt;'(backend scoring)'!$Q$335,"",$H347+1),"")</f>
        <v/>
      </c>
      <c r="I348" s="241" t="str">
        <f>_xlfn.XLOOKUP($H348,'(backend scoring)'!$S$2:$S$333,'(backend scoring)'!$A$2:$A$333,"")</f>
        <v/>
      </c>
      <c r="J348" s="241" t="str">
        <f>IFERROR(VLOOKUP($I348,'Institution Evaluation'!$A$55:$F$345,2,0),IFERROR(VLOOKUP($I348,'Privacy Analyst Evaluation'!$A$46:$F$120,2,0),""))</f>
        <v/>
      </c>
      <c r="K348" s="241" t="str">
        <f>IFERROR(VLOOKUP($I348,'Institution Evaluation'!$A$55:$F$345,3,0),IFERROR(VLOOKUP($I348,'Privacy Analyst Evaluation'!$A$46:$F$120,3,0),""))&amp;""</f>
        <v/>
      </c>
      <c r="L348" s="241" t="str">
        <f>IFERROR(VLOOKUP($I348,'Institution Evaluation'!$A$55:$F$345,4,0),IFERROR(VLOOKUP($I348,'Privacy Analyst Evaluation'!$A$46:$F$120,4,0),""))&amp;""</f>
        <v/>
      </c>
      <c r="M348" s="241" t="str">
        <f>IFERROR(VLOOKUP($I348,'Institution Evaluation'!$A$55:$F$345,6,0),IFERROR(VLOOKUP($I348,'Privacy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ht="17" x14ac:dyDescent="0.2">
      <c r="A349" s="241" t="str">
        <f>IFERROR(IF($A348+1&gt;'(backend scoring)'!$T$335,"",$A348+1),"")</f>
        <v/>
      </c>
      <c r="B349" s="241" t="str">
        <f>_xlfn.XLOOKUP($A349,'(backend scoring)'!$V$2:$V$333,'(backend scoring)'!$A$2:$A$333,"")</f>
        <v/>
      </c>
      <c r="C349" s="241" t="str">
        <f>IFERROR(VLOOKUP($B349,'Institution Evaluation'!$A$55:$F$345,2,0),IFERROR(VLOOKUP($B349,'Privacy Analyst Evaluation'!$A$46:$F$120,2,0),""))&amp;""</f>
        <v/>
      </c>
      <c r="D349" s="241" t="str">
        <f>IFERROR(VLOOKUP($B349,'Institution Evaluation'!$A$55:$F$345,3,0),IFERROR(VLOOKUP($B349,'Privacy Analyst Evaluation'!$A$46:$F$120,3,0),""))&amp;""</f>
        <v/>
      </c>
      <c r="E349" s="241" t="str">
        <f>IFERROR(VLOOKUP($B349,'Institution Evaluation'!$A$55:$F$345,4,0),IFERROR(VLOOKUP($B349,'Privacy Analyst Evaluation'!$A$46:$F$120,4,0),""))&amp;""</f>
        <v/>
      </c>
      <c r="F349" s="241" t="str">
        <f>IFERROR(VLOOKUP($B349,'Institution Evaluation'!$A$55:$F$345,6,0),IFERROR(VLOOKUP($B349,'Privacy Analyst Evaluation'!$A$46:$F$120,6,0),""))&amp;""</f>
        <v/>
      </c>
      <c r="G349" s="242"/>
      <c r="H349" s="241" t="str">
        <f>IFERROR(IF($H348+1&gt;'(backend scoring)'!$Q$335,"",$H348+1),"")</f>
        <v/>
      </c>
      <c r="I349" s="241" t="str">
        <f>_xlfn.XLOOKUP($H349,'(backend scoring)'!$S$2:$S$333,'(backend scoring)'!$A$2:$A$333,"")</f>
        <v/>
      </c>
      <c r="J349" s="241" t="str">
        <f>IFERROR(VLOOKUP($I349,'Institution Evaluation'!$A$55:$F$345,2,0),IFERROR(VLOOKUP($I349,'Privacy Analyst Evaluation'!$A$46:$F$120,2,0),""))</f>
        <v/>
      </c>
      <c r="K349" s="241" t="str">
        <f>IFERROR(VLOOKUP($I349,'Institution Evaluation'!$A$55:$F$345,3,0),IFERROR(VLOOKUP($I349,'Privacy Analyst Evaluation'!$A$46:$F$120,3,0),""))&amp;""</f>
        <v/>
      </c>
      <c r="L349" s="241" t="str">
        <f>IFERROR(VLOOKUP($I349,'Institution Evaluation'!$A$55:$F$345,4,0),IFERROR(VLOOKUP($I349,'Privacy Analyst Evaluation'!$A$46:$F$120,4,0),""))&amp;""</f>
        <v/>
      </c>
      <c r="M349" s="241" t="str">
        <f>IFERROR(VLOOKUP($I349,'Institution Evaluation'!$A$55:$F$345,6,0),IFERROR(VLOOKUP($I349,'Privacy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ht="17" x14ac:dyDescent="0.2">
      <c r="A350" s="241" t="str">
        <f>IFERROR(IF($A349+1&gt;'(backend scoring)'!$T$335,"",$A349+1),"")</f>
        <v/>
      </c>
      <c r="B350" s="241" t="str">
        <f>_xlfn.XLOOKUP($A350,'(backend scoring)'!$V$2:$V$333,'(backend scoring)'!$A$2:$A$333,"")</f>
        <v/>
      </c>
      <c r="C350" s="241" t="str">
        <f>IFERROR(VLOOKUP($B350,'Institution Evaluation'!$A$55:$F$345,2,0),IFERROR(VLOOKUP($B350,'Privacy Analyst Evaluation'!$A$46:$F$120,2,0),""))&amp;""</f>
        <v/>
      </c>
      <c r="D350" s="241" t="str">
        <f>IFERROR(VLOOKUP($B350,'Institution Evaluation'!$A$55:$F$345,3,0),IFERROR(VLOOKUP($B350,'Privacy Analyst Evaluation'!$A$46:$F$120,3,0),""))&amp;""</f>
        <v/>
      </c>
      <c r="E350" s="241" t="str">
        <f>IFERROR(VLOOKUP($B350,'Institution Evaluation'!$A$55:$F$345,4,0),IFERROR(VLOOKUP($B350,'Privacy Analyst Evaluation'!$A$46:$F$120,4,0),""))&amp;""</f>
        <v/>
      </c>
      <c r="F350" s="241" t="str">
        <f>IFERROR(VLOOKUP($B350,'Institution Evaluation'!$A$55:$F$345,6,0),IFERROR(VLOOKUP($B350,'Privacy Analyst Evaluation'!$A$46:$F$120,6,0),""))&amp;""</f>
        <v/>
      </c>
      <c r="G350" s="242"/>
      <c r="H350" s="241" t="str">
        <f>IFERROR(IF($H349+1&gt;'(backend scoring)'!$Q$335,"",$H349+1),"")</f>
        <v/>
      </c>
      <c r="I350" s="241" t="str">
        <f>_xlfn.XLOOKUP($H350,'(backend scoring)'!$S$2:$S$333,'(backend scoring)'!$A$2:$A$333,"")</f>
        <v/>
      </c>
      <c r="J350" s="241" t="str">
        <f>IFERROR(VLOOKUP($I350,'Institution Evaluation'!$A$55:$F$345,2,0),IFERROR(VLOOKUP($I350,'Privacy Analyst Evaluation'!$A$46:$F$120,2,0),""))</f>
        <v/>
      </c>
      <c r="K350" s="241" t="str">
        <f>IFERROR(VLOOKUP($I350,'Institution Evaluation'!$A$55:$F$345,3,0),IFERROR(VLOOKUP($I350,'Privacy Analyst Evaluation'!$A$46:$F$120,3,0),""))&amp;""</f>
        <v/>
      </c>
      <c r="L350" s="241" t="str">
        <f>IFERROR(VLOOKUP($I350,'Institution Evaluation'!$A$55:$F$345,4,0),IFERROR(VLOOKUP($I350,'Privacy Analyst Evaluation'!$A$46:$F$120,4,0),""))&amp;""</f>
        <v/>
      </c>
      <c r="M350" s="241" t="str">
        <f>IFERROR(VLOOKUP($I350,'Institution Evaluation'!$A$55:$F$345,6,0),IFERROR(VLOOKUP($I350,'Privacy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ht="17" x14ac:dyDescent="0.2">
      <c r="A351" s="241" t="str">
        <f>IFERROR(IF($A350+1&gt;'(backend scoring)'!$T$335,"",$A350+1),"")</f>
        <v/>
      </c>
      <c r="B351" s="241" t="str">
        <f>_xlfn.XLOOKUP($A351,'(backend scoring)'!$V$2:$V$333,'(backend scoring)'!$A$2:$A$333,"")</f>
        <v/>
      </c>
      <c r="C351" s="241" t="str">
        <f>IFERROR(VLOOKUP($B351,'Institution Evaluation'!$A$55:$F$345,2,0),IFERROR(VLOOKUP($B351,'Privacy Analyst Evaluation'!$A$46:$F$120,2,0),""))&amp;""</f>
        <v/>
      </c>
      <c r="D351" s="241" t="str">
        <f>IFERROR(VLOOKUP($B351,'Institution Evaluation'!$A$55:$F$345,3,0),IFERROR(VLOOKUP($B351,'Privacy Analyst Evaluation'!$A$46:$F$120,3,0),""))&amp;""</f>
        <v/>
      </c>
      <c r="E351" s="241" t="str">
        <f>IFERROR(VLOOKUP($B351,'Institution Evaluation'!$A$55:$F$345,4,0),IFERROR(VLOOKUP($B351,'Privacy Analyst Evaluation'!$A$46:$F$120,4,0),""))&amp;""</f>
        <v/>
      </c>
      <c r="F351" s="241" t="str">
        <f>IFERROR(VLOOKUP($B351,'Institution Evaluation'!$A$55:$F$345,6,0),IFERROR(VLOOKUP($B351,'Privacy Analyst Evaluation'!$A$46:$F$120,6,0),""))&amp;""</f>
        <v/>
      </c>
      <c r="G351" s="242"/>
      <c r="H351" s="241" t="str">
        <f>IFERROR(IF($H350+1&gt;'(backend scoring)'!$Q$335,"",$H350+1),"")</f>
        <v/>
      </c>
      <c r="I351" s="241" t="str">
        <f>_xlfn.XLOOKUP($H351,'(backend scoring)'!$S$2:$S$333,'(backend scoring)'!$A$2:$A$333,"")</f>
        <v/>
      </c>
      <c r="J351" s="241" t="str">
        <f>IFERROR(VLOOKUP($I351,'Institution Evaluation'!$A$55:$F$345,2,0),IFERROR(VLOOKUP($I351,'Privacy Analyst Evaluation'!$A$46:$F$120,2,0),""))</f>
        <v/>
      </c>
      <c r="K351" s="241" t="str">
        <f>IFERROR(VLOOKUP($I351,'Institution Evaluation'!$A$55:$F$345,3,0),IFERROR(VLOOKUP($I351,'Privacy Analyst Evaluation'!$A$46:$F$120,3,0),""))&amp;""</f>
        <v/>
      </c>
      <c r="L351" s="241" t="str">
        <f>IFERROR(VLOOKUP($I351,'Institution Evaluation'!$A$55:$F$345,4,0),IFERROR(VLOOKUP($I351,'Privacy Analyst Evaluation'!$A$46:$F$120,4,0),""))&amp;""</f>
        <v/>
      </c>
      <c r="M351" s="241" t="str">
        <f>IFERROR(VLOOKUP($I351,'Institution Evaluation'!$A$55:$F$345,6,0),IFERROR(VLOOKUP($I351,'Privacy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ht="17" x14ac:dyDescent="0.2">
      <c r="A352" s="241" t="str">
        <f>IFERROR(IF($A351+1&gt;'(backend scoring)'!$T$335,"",$A351+1),"")</f>
        <v/>
      </c>
      <c r="B352" s="241" t="str">
        <f>_xlfn.XLOOKUP($A352,'(backend scoring)'!$V$2:$V$333,'(backend scoring)'!$A$2:$A$333,"")</f>
        <v/>
      </c>
      <c r="C352" s="241" t="str">
        <f>IFERROR(VLOOKUP($B352,'Institution Evaluation'!$A$55:$F$345,2,0),IFERROR(VLOOKUP($B352,'Privacy Analyst Evaluation'!$A$46:$F$120,2,0),""))&amp;""</f>
        <v/>
      </c>
      <c r="D352" s="241" t="str">
        <f>IFERROR(VLOOKUP($B352,'Institution Evaluation'!$A$55:$F$345,3,0),IFERROR(VLOOKUP($B352,'Privacy Analyst Evaluation'!$A$46:$F$120,3,0),""))&amp;""</f>
        <v/>
      </c>
      <c r="E352" s="241" t="str">
        <f>IFERROR(VLOOKUP($B352,'Institution Evaluation'!$A$55:$F$345,4,0),IFERROR(VLOOKUP($B352,'Privacy Analyst Evaluation'!$A$46:$F$120,4,0),""))&amp;""</f>
        <v/>
      </c>
      <c r="F352" s="241" t="str">
        <f>IFERROR(VLOOKUP($B352,'Institution Evaluation'!$A$55:$F$345,6,0),IFERROR(VLOOKUP($B352,'Privacy Analyst Evaluation'!$A$46:$F$120,6,0),""))&amp;""</f>
        <v/>
      </c>
      <c r="G352" s="242"/>
      <c r="H352" s="241" t="str">
        <f>IFERROR(IF($H351+1&gt;'(backend scoring)'!$Q$335,"",$H351+1),"")</f>
        <v/>
      </c>
      <c r="I352" s="241" t="str">
        <f>_xlfn.XLOOKUP($H352,'(backend scoring)'!$S$2:$S$333,'(backend scoring)'!$A$2:$A$333,"")</f>
        <v/>
      </c>
      <c r="J352" s="241" t="str">
        <f>IFERROR(VLOOKUP($I352,'Institution Evaluation'!$A$55:$F$345,2,0),IFERROR(VLOOKUP($I352,'Privacy Analyst Evaluation'!$A$46:$F$120,2,0),""))</f>
        <v/>
      </c>
      <c r="K352" s="241" t="str">
        <f>IFERROR(VLOOKUP($I352,'Institution Evaluation'!$A$55:$F$345,3,0),IFERROR(VLOOKUP($I352,'Privacy Analyst Evaluation'!$A$46:$F$120,3,0),""))&amp;""</f>
        <v/>
      </c>
      <c r="L352" s="241" t="str">
        <f>IFERROR(VLOOKUP($I352,'Institution Evaluation'!$A$55:$F$345,4,0),IFERROR(VLOOKUP($I352,'Privacy Analyst Evaluation'!$A$46:$F$120,4,0),""))&amp;""</f>
        <v/>
      </c>
      <c r="M352" s="241" t="str">
        <f>IFERROR(VLOOKUP($I352,'Institution Evaluation'!$A$55:$F$345,6,0),IFERROR(VLOOKUP($I352,'Privacy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ht="17" x14ac:dyDescent="0.2">
      <c r="A353" s="241" t="str">
        <f>IFERROR(IF($A352+1&gt;'(backend scoring)'!$T$335,"",$A352+1),"")</f>
        <v/>
      </c>
      <c r="B353" s="241" t="str">
        <f>_xlfn.XLOOKUP($A353,'(backend scoring)'!$V$2:$V$333,'(backend scoring)'!$A$2:$A$333,"")</f>
        <v/>
      </c>
      <c r="C353" s="241" t="str">
        <f>IFERROR(VLOOKUP($B353,'Institution Evaluation'!$A$55:$F$345,2,0),IFERROR(VLOOKUP($B353,'Privacy Analyst Evaluation'!$A$46:$F$120,2,0),""))&amp;""</f>
        <v/>
      </c>
      <c r="D353" s="241" t="str">
        <f>IFERROR(VLOOKUP($B353,'Institution Evaluation'!$A$55:$F$345,3,0),IFERROR(VLOOKUP($B353,'Privacy Analyst Evaluation'!$A$46:$F$120,3,0),""))&amp;""</f>
        <v/>
      </c>
      <c r="E353" s="241" t="str">
        <f>IFERROR(VLOOKUP($B353,'Institution Evaluation'!$A$55:$F$345,4,0),IFERROR(VLOOKUP($B353,'Privacy Analyst Evaluation'!$A$46:$F$120,4,0),""))&amp;""</f>
        <v/>
      </c>
      <c r="F353" s="241" t="str">
        <f>IFERROR(VLOOKUP($B353,'Institution Evaluation'!$A$55:$F$345,6,0),IFERROR(VLOOKUP($B353,'Privacy Analyst Evaluation'!$A$46:$F$120,6,0),""))&amp;""</f>
        <v/>
      </c>
      <c r="G353" s="242"/>
      <c r="H353" s="241" t="str">
        <f>IFERROR(IF($H352+1&gt;'(backend scoring)'!$Q$335,"",$H352+1),"")</f>
        <v/>
      </c>
      <c r="I353" s="241" t="str">
        <f>_xlfn.XLOOKUP($H353,'(backend scoring)'!$S$2:$S$333,'(backend scoring)'!$A$2:$A$333,"")</f>
        <v/>
      </c>
      <c r="J353" s="241" t="str">
        <f>IFERROR(VLOOKUP($I353,'Institution Evaluation'!$A$55:$F$345,2,0),IFERROR(VLOOKUP($I353,'Privacy Analyst Evaluation'!$A$46:$F$120,2,0),""))</f>
        <v/>
      </c>
      <c r="K353" s="241" t="str">
        <f>IFERROR(VLOOKUP($I353,'Institution Evaluation'!$A$55:$F$345,3,0),IFERROR(VLOOKUP($I353,'Privacy Analyst Evaluation'!$A$46:$F$120,3,0),""))&amp;""</f>
        <v/>
      </c>
      <c r="L353" s="241" t="str">
        <f>IFERROR(VLOOKUP($I353,'Institution Evaluation'!$A$55:$F$345,4,0),IFERROR(VLOOKUP($I353,'Privacy Analyst Evaluation'!$A$46:$F$120,4,0),""))&amp;""</f>
        <v/>
      </c>
      <c r="M353" s="241" t="str">
        <f>IFERROR(VLOOKUP($I353,'Institution Evaluation'!$A$55:$F$345,6,0),IFERROR(VLOOKUP($I353,'Privacy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ht="17" x14ac:dyDescent="0.2">
      <c r="A354" s="241" t="str">
        <f>IFERROR(IF($A353+1&gt;'(backend scoring)'!$T$335,"",$A353+1),"")</f>
        <v/>
      </c>
      <c r="B354" s="241" t="str">
        <f>_xlfn.XLOOKUP($A354,'(backend scoring)'!$V$2:$V$333,'(backend scoring)'!$A$2:$A$333,"")</f>
        <v/>
      </c>
      <c r="C354" s="241" t="str">
        <f>IFERROR(VLOOKUP($B354,'Institution Evaluation'!$A$55:$F$345,2,0),IFERROR(VLOOKUP($B354,'Privacy Analyst Evaluation'!$A$46:$F$120,2,0),""))&amp;""</f>
        <v/>
      </c>
      <c r="D354" s="241" t="str">
        <f>IFERROR(VLOOKUP($B354,'Institution Evaluation'!$A$55:$F$345,3,0),IFERROR(VLOOKUP($B354,'Privacy Analyst Evaluation'!$A$46:$F$120,3,0),""))&amp;""</f>
        <v/>
      </c>
      <c r="E354" s="241" t="str">
        <f>IFERROR(VLOOKUP($B354,'Institution Evaluation'!$A$55:$F$345,4,0),IFERROR(VLOOKUP($B354,'Privacy Analyst Evaluation'!$A$46:$F$120,4,0),""))&amp;""</f>
        <v/>
      </c>
      <c r="F354" s="241" t="str">
        <f>IFERROR(VLOOKUP($B354,'Institution Evaluation'!$A$55:$F$345,6,0),IFERROR(VLOOKUP($B354,'Privacy Analyst Evaluation'!$A$46:$F$120,6,0),""))&amp;""</f>
        <v/>
      </c>
      <c r="G354" s="242"/>
      <c r="H354" s="241" t="str">
        <f>IFERROR(IF($H353+1&gt;'(backend scoring)'!$Q$335,"",$H353+1),"")</f>
        <v/>
      </c>
      <c r="I354" s="241" t="str">
        <f>_xlfn.XLOOKUP($H354,'(backend scoring)'!$S$2:$S$333,'(backend scoring)'!$A$2:$A$333,"")</f>
        <v/>
      </c>
      <c r="J354" s="241" t="str">
        <f>IFERROR(VLOOKUP($I354,'Institution Evaluation'!$A$55:$F$345,2,0),IFERROR(VLOOKUP($I354,'Privacy Analyst Evaluation'!$A$46:$F$120,2,0),""))</f>
        <v/>
      </c>
      <c r="K354" s="241" t="str">
        <f>IFERROR(VLOOKUP($I354,'Institution Evaluation'!$A$55:$F$345,3,0),IFERROR(VLOOKUP($I354,'Privacy Analyst Evaluation'!$A$46:$F$120,3,0),""))&amp;""</f>
        <v/>
      </c>
      <c r="L354" s="241" t="str">
        <f>IFERROR(VLOOKUP($I354,'Institution Evaluation'!$A$55:$F$345,4,0),IFERROR(VLOOKUP($I354,'Privacy Analyst Evaluation'!$A$46:$F$120,4,0),""))&amp;""</f>
        <v/>
      </c>
      <c r="M354" s="241" t="str">
        <f>IFERROR(VLOOKUP($I354,'Institution Evaluation'!$A$55:$F$345,6,0),IFERROR(VLOOKUP($I354,'Privacy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ht="17" x14ac:dyDescent="0.2">
      <c r="A355" s="241" t="str">
        <f>IFERROR(IF($A354+1&gt;'(backend scoring)'!$T$335,"",$A354+1),"")</f>
        <v/>
      </c>
      <c r="B355" s="241" t="str">
        <f>_xlfn.XLOOKUP($A355,'(backend scoring)'!$V$2:$V$333,'(backend scoring)'!$A$2:$A$333,"")</f>
        <v/>
      </c>
      <c r="C355" s="241" t="str">
        <f>IFERROR(VLOOKUP($B355,'Institution Evaluation'!$A$55:$F$345,2,0),IFERROR(VLOOKUP($B355,'Privacy Analyst Evaluation'!$A$46:$F$120,2,0),""))&amp;""</f>
        <v/>
      </c>
      <c r="D355" s="241" t="str">
        <f>IFERROR(VLOOKUP($B355,'Institution Evaluation'!$A$55:$F$345,3,0),IFERROR(VLOOKUP($B355,'Privacy Analyst Evaluation'!$A$46:$F$120,3,0),""))&amp;""</f>
        <v/>
      </c>
      <c r="E355" s="241" t="str">
        <f>IFERROR(VLOOKUP($B355,'Institution Evaluation'!$A$55:$F$345,4,0),IFERROR(VLOOKUP($B355,'Privacy Analyst Evaluation'!$A$46:$F$120,4,0),""))&amp;""</f>
        <v/>
      </c>
      <c r="F355" s="241" t="str">
        <f>IFERROR(VLOOKUP($B355,'Institution Evaluation'!$A$55:$F$345,6,0),IFERROR(VLOOKUP($B355,'Privacy Analyst Evaluation'!$A$46:$F$120,6,0),""))&amp;""</f>
        <v/>
      </c>
      <c r="G355" s="242"/>
      <c r="H355" s="241" t="str">
        <f>IFERROR(IF($H354+1&gt;'(backend scoring)'!$Q$335,"",$H354+1),"")</f>
        <v/>
      </c>
      <c r="I355" s="241" t="str">
        <f>_xlfn.XLOOKUP($H355,'(backend scoring)'!$S$2:$S$333,'(backend scoring)'!$A$2:$A$333,"")</f>
        <v/>
      </c>
      <c r="J355" s="241" t="str">
        <f>IFERROR(VLOOKUP($I355,'Institution Evaluation'!$A$55:$F$345,2,0),IFERROR(VLOOKUP($I355,'Privacy Analyst Evaluation'!$A$46:$F$120,2,0),""))</f>
        <v/>
      </c>
      <c r="K355" s="241" t="str">
        <f>IFERROR(VLOOKUP($I355,'Institution Evaluation'!$A$55:$F$345,3,0),IFERROR(VLOOKUP($I355,'Privacy Analyst Evaluation'!$A$46:$F$120,3,0),""))&amp;""</f>
        <v/>
      </c>
      <c r="L355" s="241" t="str">
        <f>IFERROR(VLOOKUP($I355,'Institution Evaluation'!$A$55:$F$345,4,0),IFERROR(VLOOKUP($I355,'Privacy Analyst Evaluation'!$A$46:$F$120,4,0),""))&amp;""</f>
        <v/>
      </c>
      <c r="M355" s="241" t="str">
        <f>IFERROR(VLOOKUP($I355,'Institution Evaluation'!$A$55:$F$345,6,0),IFERROR(VLOOKUP($I355,'Privacy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ht="17" x14ac:dyDescent="0.2">
      <c r="A356" s="241" t="str">
        <f>IFERROR(IF($A355+1&gt;'(backend scoring)'!$T$335,"",$A355+1),"")</f>
        <v/>
      </c>
      <c r="B356" s="241" t="str">
        <f>_xlfn.XLOOKUP($A356,'(backend scoring)'!$V$2:$V$333,'(backend scoring)'!$A$2:$A$333,"")</f>
        <v/>
      </c>
      <c r="C356" s="241" t="str">
        <f>IFERROR(VLOOKUP($B356,'Institution Evaluation'!$A$55:$F$345,2,0),IFERROR(VLOOKUP($B356,'Privacy Analyst Evaluation'!$A$46:$F$120,2,0),""))&amp;""</f>
        <v/>
      </c>
      <c r="D356" s="241" t="str">
        <f>IFERROR(VLOOKUP($B356,'Institution Evaluation'!$A$55:$F$345,3,0),IFERROR(VLOOKUP($B356,'Privacy Analyst Evaluation'!$A$46:$F$120,3,0),""))&amp;""</f>
        <v/>
      </c>
      <c r="E356" s="241" t="str">
        <f>IFERROR(VLOOKUP($B356,'Institution Evaluation'!$A$55:$F$345,4,0),IFERROR(VLOOKUP($B356,'Privacy Analyst Evaluation'!$A$46:$F$120,4,0),""))&amp;""</f>
        <v/>
      </c>
      <c r="F356" s="241" t="str">
        <f>IFERROR(VLOOKUP($B356,'Institution Evaluation'!$A$55:$F$345,6,0),IFERROR(VLOOKUP($B356,'Privacy Analyst Evaluation'!$A$46:$F$120,6,0),""))&amp;""</f>
        <v/>
      </c>
      <c r="G356" s="242"/>
      <c r="H356" s="241" t="str">
        <f>IFERROR(IF($H355+1&gt;'(backend scoring)'!$Q$335,"",$H355+1),"")</f>
        <v/>
      </c>
      <c r="I356" s="241" t="str">
        <f>_xlfn.XLOOKUP($H356,'(backend scoring)'!$S$2:$S$333,'(backend scoring)'!$A$2:$A$333,"")</f>
        <v/>
      </c>
      <c r="J356" s="241" t="str">
        <f>IFERROR(VLOOKUP($I356,'Institution Evaluation'!$A$55:$F$345,2,0),IFERROR(VLOOKUP($I356,'Privacy Analyst Evaluation'!$A$46:$F$120,2,0),""))</f>
        <v/>
      </c>
      <c r="K356" s="241" t="str">
        <f>IFERROR(VLOOKUP($I356,'Institution Evaluation'!$A$55:$F$345,3,0),IFERROR(VLOOKUP($I356,'Privacy Analyst Evaluation'!$A$46:$F$120,3,0),""))&amp;""</f>
        <v/>
      </c>
      <c r="L356" s="241" t="str">
        <f>IFERROR(VLOOKUP($I356,'Institution Evaluation'!$A$55:$F$345,4,0),IFERROR(VLOOKUP($I356,'Privacy Analyst Evaluation'!$A$46:$F$120,4,0),""))&amp;""</f>
        <v/>
      </c>
      <c r="M356" s="241" t="str">
        <f>IFERROR(VLOOKUP($I356,'Institution Evaluation'!$A$55:$F$345,6,0),IFERROR(VLOOKUP($I356,'Privacy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ht="17" x14ac:dyDescent="0.2">
      <c r="A357" s="241" t="str">
        <f>IFERROR(IF($A356+1&gt;'(backend scoring)'!$T$335,"",$A356+1),"")</f>
        <v/>
      </c>
      <c r="B357" s="241" t="str">
        <f>_xlfn.XLOOKUP($A357,'(backend scoring)'!$V$2:$V$333,'(backend scoring)'!$A$2:$A$333,"")</f>
        <v/>
      </c>
      <c r="C357" s="241" t="str">
        <f>IFERROR(VLOOKUP($B357,'Institution Evaluation'!$A$55:$F$345,2,0),IFERROR(VLOOKUP($B357,'Privacy Analyst Evaluation'!$A$46:$F$120,2,0),""))&amp;""</f>
        <v/>
      </c>
      <c r="D357" s="241" t="str">
        <f>IFERROR(VLOOKUP($B357,'Institution Evaluation'!$A$55:$F$345,3,0),IFERROR(VLOOKUP($B357,'Privacy Analyst Evaluation'!$A$46:$F$120,3,0),""))&amp;""</f>
        <v/>
      </c>
      <c r="E357" s="241" t="str">
        <f>IFERROR(VLOOKUP($B357,'Institution Evaluation'!$A$55:$F$345,4,0),IFERROR(VLOOKUP($B357,'Privacy Analyst Evaluation'!$A$46:$F$120,4,0),""))&amp;""</f>
        <v/>
      </c>
      <c r="F357" s="241" t="str">
        <f>IFERROR(VLOOKUP($B357,'Institution Evaluation'!$A$55:$F$345,6,0),IFERROR(VLOOKUP($B357,'Privacy Analyst Evaluation'!$A$46:$F$120,6,0),""))&amp;""</f>
        <v/>
      </c>
      <c r="G357" s="242"/>
      <c r="H357" s="241" t="str">
        <f>IFERROR(IF($H356+1&gt;'(backend scoring)'!$Q$335,"",$H356+1),"")</f>
        <v/>
      </c>
      <c r="I357" s="241" t="str">
        <f>_xlfn.XLOOKUP($H357,'(backend scoring)'!$S$2:$S$333,'(backend scoring)'!$A$2:$A$333,"")</f>
        <v/>
      </c>
      <c r="J357" s="241" t="str">
        <f>IFERROR(VLOOKUP($I357,'Institution Evaluation'!$A$55:$F$345,2,0),IFERROR(VLOOKUP($I357,'Privacy Analyst Evaluation'!$A$46:$F$120,2,0),""))</f>
        <v/>
      </c>
      <c r="K357" s="241" t="str">
        <f>IFERROR(VLOOKUP($I357,'Institution Evaluation'!$A$55:$F$345,3,0),IFERROR(VLOOKUP($I357,'Privacy Analyst Evaluation'!$A$46:$F$120,3,0),""))&amp;""</f>
        <v/>
      </c>
      <c r="L357" s="241" t="str">
        <f>IFERROR(VLOOKUP($I357,'Institution Evaluation'!$A$55:$F$345,4,0),IFERROR(VLOOKUP($I357,'Privacy Analyst Evaluation'!$A$46:$F$120,4,0),""))&amp;""</f>
        <v/>
      </c>
      <c r="M357" s="241" t="str">
        <f>IFERROR(VLOOKUP($I357,'Institution Evaluation'!$A$55:$F$345,6,0),IFERROR(VLOOKUP($I357,'Privacy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ht="17" x14ac:dyDescent="0.2">
      <c r="A358" s="241" t="str">
        <f>IFERROR(IF($A357+1&gt;'(backend scoring)'!$T$335,"",$A357+1),"")</f>
        <v/>
      </c>
      <c r="B358" s="241" t="str">
        <f>_xlfn.XLOOKUP($A358,'(backend scoring)'!$V$2:$V$333,'(backend scoring)'!$A$2:$A$333,"")</f>
        <v/>
      </c>
      <c r="C358" s="241" t="str">
        <f>IFERROR(VLOOKUP($B358,'Institution Evaluation'!$A$55:$F$345,2,0),IFERROR(VLOOKUP($B358,'Privacy Analyst Evaluation'!$A$46:$F$120,2,0),""))&amp;""</f>
        <v/>
      </c>
      <c r="D358" s="241" t="str">
        <f>IFERROR(VLOOKUP($B358,'Institution Evaluation'!$A$55:$F$345,3,0),IFERROR(VLOOKUP($B358,'Privacy Analyst Evaluation'!$A$46:$F$120,3,0),""))&amp;""</f>
        <v/>
      </c>
      <c r="E358" s="241" t="str">
        <f>IFERROR(VLOOKUP($B358,'Institution Evaluation'!$A$55:$F$345,4,0),IFERROR(VLOOKUP($B358,'Privacy Analyst Evaluation'!$A$46:$F$120,4,0),""))&amp;""</f>
        <v/>
      </c>
      <c r="F358" s="241" t="str">
        <f>IFERROR(VLOOKUP($B358,'Institution Evaluation'!$A$55:$F$345,6,0),IFERROR(VLOOKUP($B358,'Privacy Analyst Evaluation'!$A$46:$F$120,6,0),""))&amp;""</f>
        <v/>
      </c>
      <c r="G358" s="242"/>
      <c r="H358" s="241" t="str">
        <f>IFERROR(IF($H357+1&gt;'(backend scoring)'!$Q$335,"",$H357+1),"")</f>
        <v/>
      </c>
      <c r="I358" s="241" t="str">
        <f>_xlfn.XLOOKUP($H358,'(backend scoring)'!$S$2:$S$333,'(backend scoring)'!$A$2:$A$333,"")</f>
        <v/>
      </c>
      <c r="J358" s="241" t="str">
        <f>IFERROR(VLOOKUP($I358,'Institution Evaluation'!$A$55:$F$345,2,0),IFERROR(VLOOKUP($I358,'Privacy Analyst Evaluation'!$A$46:$F$120,2,0),""))</f>
        <v/>
      </c>
      <c r="K358" s="241" t="str">
        <f>IFERROR(VLOOKUP($I358,'Institution Evaluation'!$A$55:$F$345,3,0),IFERROR(VLOOKUP($I358,'Privacy Analyst Evaluation'!$A$46:$F$120,3,0),""))&amp;""</f>
        <v/>
      </c>
      <c r="L358" s="241" t="str">
        <f>IFERROR(VLOOKUP($I358,'Institution Evaluation'!$A$55:$F$345,4,0),IFERROR(VLOOKUP($I358,'Privacy Analyst Evaluation'!$A$46:$F$120,4,0),""))&amp;""</f>
        <v/>
      </c>
      <c r="M358" s="241" t="str">
        <f>IFERROR(VLOOKUP($I358,'Institution Evaluation'!$A$55:$F$345,6,0),IFERROR(VLOOKUP($I358,'Privacy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ht="17" x14ac:dyDescent="0.2">
      <c r="A359" s="241" t="str">
        <f>IFERROR(IF($A358+1&gt;'(backend scoring)'!$T$335,"",$A358+1),"")</f>
        <v/>
      </c>
      <c r="B359" s="241" t="str">
        <f>_xlfn.XLOOKUP($A359,'(backend scoring)'!$V$2:$V$333,'(backend scoring)'!$A$2:$A$333,"")</f>
        <v/>
      </c>
      <c r="C359" s="241" t="str">
        <f>IFERROR(VLOOKUP($B359,'Institution Evaluation'!$A$55:$F$345,2,0),IFERROR(VLOOKUP($B359,'Privacy Analyst Evaluation'!$A$46:$F$120,2,0),""))&amp;""</f>
        <v/>
      </c>
      <c r="D359" s="241" t="str">
        <f>IFERROR(VLOOKUP($B359,'Institution Evaluation'!$A$55:$F$345,3,0),IFERROR(VLOOKUP($B359,'Privacy Analyst Evaluation'!$A$46:$F$120,3,0),""))&amp;""</f>
        <v/>
      </c>
      <c r="E359" s="241" t="str">
        <f>IFERROR(VLOOKUP($B359,'Institution Evaluation'!$A$55:$F$345,4,0),IFERROR(VLOOKUP($B359,'Privacy Analyst Evaluation'!$A$46:$F$120,4,0),""))&amp;""</f>
        <v/>
      </c>
      <c r="F359" s="241" t="str">
        <f>IFERROR(VLOOKUP($B359,'Institution Evaluation'!$A$55:$F$345,6,0),IFERROR(VLOOKUP($B359,'Privacy Analyst Evaluation'!$A$46:$F$120,6,0),""))&amp;""</f>
        <v/>
      </c>
      <c r="G359" s="242"/>
      <c r="H359" s="241" t="str">
        <f>IFERROR(IF($H358+1&gt;'(backend scoring)'!$Q$335,"",$H358+1),"")</f>
        <v/>
      </c>
      <c r="I359" s="241" t="str">
        <f>_xlfn.XLOOKUP($H359,'(backend scoring)'!$S$2:$S$333,'(backend scoring)'!$A$2:$A$333,"")</f>
        <v/>
      </c>
      <c r="J359" s="241" t="str">
        <f>IFERROR(VLOOKUP($I359,'Institution Evaluation'!$A$55:$F$345,2,0),IFERROR(VLOOKUP($I359,'Privacy Analyst Evaluation'!$A$46:$F$120,2,0),""))</f>
        <v/>
      </c>
      <c r="K359" s="241" t="str">
        <f>IFERROR(VLOOKUP($I359,'Institution Evaluation'!$A$55:$F$345,3,0),IFERROR(VLOOKUP($I359,'Privacy Analyst Evaluation'!$A$46:$F$120,3,0),""))&amp;""</f>
        <v/>
      </c>
      <c r="L359" s="241" t="str">
        <f>IFERROR(VLOOKUP($I359,'Institution Evaluation'!$A$55:$F$345,4,0),IFERROR(VLOOKUP($I359,'Privacy Analyst Evaluation'!$A$46:$F$120,4,0),""))&amp;""</f>
        <v/>
      </c>
      <c r="M359" s="241" t="str">
        <f>IFERROR(VLOOKUP($I359,'Institution Evaluation'!$A$55:$F$345,6,0),IFERROR(VLOOKUP($I359,'Privacy Analyst Evaluation'!$A$46:$F$120,6,0),""))&amp;""</f>
        <v/>
      </c>
    </row>
    <row r="360" spans="1:338" ht="17" x14ac:dyDescent="0.2">
      <c r="A360" s="241" t="str">
        <f>IFERROR(IF($A359+1&gt;'(backend scoring)'!$T$335,"",$A359+1),"")</f>
        <v/>
      </c>
      <c r="B360" s="241" t="str">
        <f>_xlfn.XLOOKUP($A360,'(backend scoring)'!$V$2:$V$333,'(backend scoring)'!$A$2:$A$333,"")</f>
        <v/>
      </c>
      <c r="C360" s="241" t="str">
        <f>IFERROR(VLOOKUP($B360,'Institution Evaluation'!$A$55:$F$345,2,0),IFERROR(VLOOKUP($B360,'Privacy Analyst Evaluation'!$A$46:$F$120,2,0),""))&amp;""</f>
        <v/>
      </c>
      <c r="D360" s="241" t="str">
        <f>IFERROR(VLOOKUP($B360,'Institution Evaluation'!$A$55:$F$345,3,0),IFERROR(VLOOKUP($B360,'Privacy Analyst Evaluation'!$A$46:$F$120,3,0),""))&amp;""</f>
        <v/>
      </c>
      <c r="E360" s="241" t="str">
        <f>IFERROR(VLOOKUP($B360,'Institution Evaluation'!$A$55:$F$345,4,0),IFERROR(VLOOKUP($B360,'Privacy Analyst Evaluation'!$A$46:$F$120,4,0),""))&amp;""</f>
        <v/>
      </c>
      <c r="F360" s="241" t="str">
        <f>IFERROR(VLOOKUP($B360,'Institution Evaluation'!$A$55:$F$345,6,0),IFERROR(VLOOKUP($B360,'Privacy Analyst Evaluation'!$A$46:$F$120,6,0),""))&amp;""</f>
        <v/>
      </c>
      <c r="G360" s="242"/>
      <c r="H360" s="241" t="str">
        <f>IFERROR(IF($H359+1&gt;'(backend scoring)'!$Q$335,"",$H359+1),"")</f>
        <v/>
      </c>
      <c r="I360" s="241" t="str">
        <f>_xlfn.XLOOKUP($H360,'(backend scoring)'!$S$2:$S$333,'(backend scoring)'!$A$2:$A$333,"")</f>
        <v/>
      </c>
      <c r="J360" s="241" t="str">
        <f>IFERROR(VLOOKUP($I360,'Institution Evaluation'!$A$55:$F$345,2,0),IFERROR(VLOOKUP($I360,'Privacy Analyst Evaluation'!$A$46:$F$120,2,0),""))</f>
        <v/>
      </c>
      <c r="K360" s="241" t="str">
        <f>IFERROR(VLOOKUP($I360,'Institution Evaluation'!$A$55:$F$345,3,0),IFERROR(VLOOKUP($I360,'Privacy Analyst Evaluation'!$A$46:$F$120,3,0),""))&amp;""</f>
        <v/>
      </c>
      <c r="L360" s="241" t="str">
        <f>IFERROR(VLOOKUP($I360,'Institution Evaluation'!$A$55:$F$345,4,0),IFERROR(VLOOKUP($I360,'Privacy Analyst Evaluation'!$A$46:$F$120,4,0),""))&amp;""</f>
        <v/>
      </c>
      <c r="M360" s="241" t="str">
        <f>IFERROR(VLOOKUP($I360,'Institution Evaluation'!$A$55:$F$345,6,0),IFERROR(VLOOKUP($I360,'Privacy Analyst Evaluation'!$A$46:$F$120,6,0),""))&amp;""</f>
        <v/>
      </c>
    </row>
    <row r="361" spans="1:338" ht="17" x14ac:dyDescent="0.2">
      <c r="A361" s="241" t="str">
        <f>IFERROR(IF($A360+1&gt;'(backend scoring)'!$T$335,"",$A360+1),"")</f>
        <v/>
      </c>
      <c r="B361" s="241" t="str">
        <f>_xlfn.XLOOKUP($A361,'(backend scoring)'!$V$2:$V$333,'(backend scoring)'!$A$2:$A$333,"")</f>
        <v/>
      </c>
      <c r="C361" s="241" t="str">
        <f>IFERROR(VLOOKUP($B361,'Institution Evaluation'!$A$55:$F$345,2,0),IFERROR(VLOOKUP($B361,'Privacy Analyst Evaluation'!$A$46:$F$120,2,0),""))&amp;""</f>
        <v/>
      </c>
      <c r="D361" s="241" t="str">
        <f>IFERROR(VLOOKUP($B361,'Institution Evaluation'!$A$55:$F$345,3,0),IFERROR(VLOOKUP($B361,'Privacy Analyst Evaluation'!$A$46:$F$120,3,0),""))&amp;""</f>
        <v/>
      </c>
      <c r="E361" s="241" t="str">
        <f>IFERROR(VLOOKUP($B361,'Institution Evaluation'!$A$55:$F$345,4,0),IFERROR(VLOOKUP($B361,'Privacy Analyst Evaluation'!$A$46:$F$120,4,0),""))&amp;""</f>
        <v/>
      </c>
      <c r="F361" s="241" t="str">
        <f>IFERROR(VLOOKUP($B361,'Institution Evaluation'!$A$55:$F$345,6,0),IFERROR(VLOOKUP($B361,'Privacy Analyst Evaluation'!$A$46:$F$120,6,0),""))&amp;""</f>
        <v/>
      </c>
      <c r="G361" s="242"/>
      <c r="H361" s="241" t="str">
        <f>IFERROR(IF($H360+1&gt;'(backend scoring)'!$Q$335,"",$H360+1),"")</f>
        <v/>
      </c>
      <c r="I361" s="241" t="str">
        <f>_xlfn.XLOOKUP($H361,'(backend scoring)'!$S$2:$S$333,'(backend scoring)'!$A$2:$A$333,"")</f>
        <v/>
      </c>
      <c r="J361" s="241" t="str">
        <f>IFERROR(VLOOKUP($I361,'Institution Evaluation'!$A$55:$F$345,2,0),IFERROR(VLOOKUP($I361,'Privacy Analyst Evaluation'!$A$46:$F$120,2,0),""))</f>
        <v/>
      </c>
      <c r="K361" s="241" t="str">
        <f>IFERROR(VLOOKUP($I361,'Institution Evaluation'!$A$55:$F$345,3,0),IFERROR(VLOOKUP($I361,'Privacy Analyst Evaluation'!$A$46:$F$120,3,0),""))&amp;""</f>
        <v/>
      </c>
      <c r="L361" s="241" t="str">
        <f>IFERROR(VLOOKUP($I361,'Institution Evaluation'!$A$55:$F$345,4,0),IFERROR(VLOOKUP($I361,'Privacy Analyst Evaluation'!$A$46:$F$120,4,0),""))&amp;""</f>
        <v/>
      </c>
      <c r="M361" s="241" t="str">
        <f>IFERROR(VLOOKUP($I361,'Institution Evaluation'!$A$55:$F$345,6,0),IFERROR(VLOOKUP($I361,'Privacy Analyst Evaluation'!$A$46:$F$120,6,0),""))&amp;""</f>
        <v/>
      </c>
    </row>
    <row r="362" spans="1:338" ht="17" x14ac:dyDescent="0.2">
      <c r="A362" s="241" t="str">
        <f>IFERROR(IF($A361+1&gt;'(backend scoring)'!$T$335,"",$A361+1),"")</f>
        <v/>
      </c>
      <c r="B362" s="241" t="str">
        <f>_xlfn.XLOOKUP($A362,'(backend scoring)'!$V$2:$V$333,'(backend scoring)'!$A$2:$A$333,"")</f>
        <v/>
      </c>
      <c r="C362" s="241" t="str">
        <f>IFERROR(VLOOKUP($B362,'Institution Evaluation'!$A$55:$F$345,2,0),IFERROR(VLOOKUP($B362,'Privacy Analyst Evaluation'!$A$46:$F$120,2,0),""))&amp;""</f>
        <v/>
      </c>
      <c r="D362" s="241" t="str">
        <f>IFERROR(VLOOKUP($B362,'Institution Evaluation'!$A$55:$F$345,3,0),IFERROR(VLOOKUP($B362,'Privacy Analyst Evaluation'!$A$46:$F$120,3,0),""))&amp;""</f>
        <v/>
      </c>
      <c r="E362" s="241" t="str">
        <f>IFERROR(VLOOKUP($B362,'Institution Evaluation'!$A$55:$F$345,4,0),IFERROR(VLOOKUP($B362,'Privacy Analyst Evaluation'!$A$46:$F$120,4,0),""))&amp;""</f>
        <v/>
      </c>
      <c r="F362" s="241" t="str">
        <f>IFERROR(VLOOKUP($B362,'Institution Evaluation'!$A$55:$F$345,6,0),IFERROR(VLOOKUP($B362,'Privacy Analyst Evaluation'!$A$46:$F$120,6,0),""))&amp;""</f>
        <v/>
      </c>
      <c r="G362" s="242"/>
      <c r="H362" s="241" t="str">
        <f>IFERROR(IF($H361+1&gt;'(backend scoring)'!$Q$335,"",$H361+1),"")</f>
        <v/>
      </c>
      <c r="I362" s="241" t="str">
        <f>_xlfn.XLOOKUP($H362,'(backend scoring)'!$S$2:$S$333,'(backend scoring)'!$A$2:$A$333,"")</f>
        <v/>
      </c>
      <c r="J362" s="241" t="str">
        <f>IFERROR(VLOOKUP($I362,'Institution Evaluation'!$A$55:$F$345,2,0),IFERROR(VLOOKUP($I362,'Privacy Analyst Evaluation'!$A$46:$F$120,2,0),""))</f>
        <v/>
      </c>
      <c r="K362" s="241" t="str">
        <f>IFERROR(VLOOKUP($I362,'Institution Evaluation'!$A$55:$F$345,3,0),IFERROR(VLOOKUP($I362,'Privacy Analyst Evaluation'!$A$46:$F$120,3,0),""))&amp;""</f>
        <v/>
      </c>
      <c r="L362" s="241" t="str">
        <f>IFERROR(VLOOKUP($I362,'Institution Evaluation'!$A$55:$F$345,4,0),IFERROR(VLOOKUP($I362,'Privacy Analyst Evaluation'!$A$46:$F$120,4,0),""))&amp;""</f>
        <v/>
      </c>
      <c r="M362" s="241" t="str">
        <f>IFERROR(VLOOKUP($I362,'Institution Evaluation'!$A$55:$F$345,6,0),IFERROR(VLOOKUP($I362,'Privacy Analyst Evaluation'!$A$46:$F$120,6,0),""))&amp;""</f>
        <v/>
      </c>
    </row>
    <row r="363" spans="1:338" ht="17" x14ac:dyDescent="0.2">
      <c r="A363" s="241" t="str">
        <f>IFERROR(IF($A362+1&gt;'(backend scoring)'!$T$335,"",$A362+1),"")</f>
        <v/>
      </c>
      <c r="B363" s="241" t="str">
        <f>_xlfn.XLOOKUP($A363,'(backend scoring)'!$V$2:$V$333,'(backend scoring)'!$A$2:$A$333,"")</f>
        <v/>
      </c>
      <c r="C363" s="241" t="str">
        <f>IFERROR(VLOOKUP($B363,'Institution Evaluation'!$A$55:$F$345,2,0),IFERROR(VLOOKUP($B363,'Privacy Analyst Evaluation'!$A$46:$F$120,2,0),""))&amp;""</f>
        <v/>
      </c>
      <c r="D363" s="241" t="str">
        <f>IFERROR(VLOOKUP($B363,'Institution Evaluation'!$A$55:$F$345,3,0),IFERROR(VLOOKUP($B363,'Privacy Analyst Evaluation'!$A$46:$F$120,3,0),""))&amp;""</f>
        <v/>
      </c>
      <c r="E363" s="241" t="str">
        <f>IFERROR(VLOOKUP($B363,'Institution Evaluation'!$A$55:$F$345,4,0),IFERROR(VLOOKUP($B363,'Privacy Analyst Evaluation'!$A$46:$F$120,4,0),""))&amp;""</f>
        <v/>
      </c>
      <c r="F363" s="241" t="str">
        <f>IFERROR(VLOOKUP($B363,'Institution Evaluation'!$A$55:$F$345,6,0),IFERROR(VLOOKUP($B363,'Privacy Analyst Evaluation'!$A$46:$F$120,6,0),""))&amp;""</f>
        <v/>
      </c>
      <c r="G363" s="242"/>
      <c r="H363" s="241" t="str">
        <f>IFERROR(IF($H362+1&gt;'(backend scoring)'!$Q$335,"",$H362+1),"")</f>
        <v/>
      </c>
      <c r="I363" s="241" t="str">
        <f>_xlfn.XLOOKUP($H363,'(backend scoring)'!$S$2:$S$333,'(backend scoring)'!$A$2:$A$333,"")</f>
        <v/>
      </c>
      <c r="J363" s="241" t="str">
        <f>IFERROR(VLOOKUP($I363,'Institution Evaluation'!$A$55:$F$345,2,0),IFERROR(VLOOKUP($I363,'Privacy Analyst Evaluation'!$A$46:$F$120,2,0),""))</f>
        <v/>
      </c>
      <c r="K363" s="241" t="str">
        <f>IFERROR(VLOOKUP($I363,'Institution Evaluation'!$A$55:$F$345,3,0),IFERROR(VLOOKUP($I363,'Privacy Analyst Evaluation'!$A$46:$F$120,3,0),""))&amp;""</f>
        <v/>
      </c>
      <c r="L363" s="241" t="str">
        <f>IFERROR(VLOOKUP($I363,'Institution Evaluation'!$A$55:$F$345,4,0),IFERROR(VLOOKUP($I363,'Privacy Analyst Evaluation'!$A$46:$F$120,4,0),""))&amp;""</f>
        <v/>
      </c>
      <c r="M363" s="241" t="str">
        <f>IFERROR(VLOOKUP($I363,'Institution Evaluation'!$A$55:$F$345,6,0),IFERROR(VLOOKUP($I363,'Privacy Analyst Evaluation'!$A$46:$F$120,6,0),""))&amp;""</f>
        <v/>
      </c>
    </row>
    <row r="364" spans="1:338" ht="17" x14ac:dyDescent="0.2">
      <c r="A364" s="241" t="str">
        <f>IFERROR(IF($A363+1&gt;'(backend scoring)'!$T$335,"",$A363+1),"")</f>
        <v/>
      </c>
      <c r="B364" s="241" t="str">
        <f>_xlfn.XLOOKUP($A364,'(backend scoring)'!$V$2:$V$333,'(backend scoring)'!$A$2:$A$333,"")</f>
        <v/>
      </c>
      <c r="C364" s="241" t="str">
        <f>IFERROR(VLOOKUP($B364,'Institution Evaluation'!$A$55:$F$345,2,0),IFERROR(VLOOKUP($B364,'Privacy Analyst Evaluation'!$A$46:$F$120,2,0),""))&amp;""</f>
        <v/>
      </c>
      <c r="D364" s="241" t="str">
        <f>IFERROR(VLOOKUP($B364,'Institution Evaluation'!$A$55:$F$345,3,0),IFERROR(VLOOKUP($B364,'Privacy Analyst Evaluation'!$A$46:$F$120,3,0),""))&amp;""</f>
        <v/>
      </c>
      <c r="E364" s="241" t="str">
        <f>IFERROR(VLOOKUP($B364,'Institution Evaluation'!$A$55:$F$345,4,0),IFERROR(VLOOKUP($B364,'Privacy Analyst Evaluation'!$A$46:$F$120,4,0),""))&amp;""</f>
        <v/>
      </c>
      <c r="F364" s="241" t="str">
        <f>IFERROR(VLOOKUP($B364,'Institution Evaluation'!$A$55:$F$345,6,0),IFERROR(VLOOKUP($B364,'Privacy Analyst Evaluation'!$A$46:$F$120,6,0),""))&amp;""</f>
        <v/>
      </c>
      <c r="G364" s="242"/>
      <c r="H364" s="241" t="str">
        <f>IFERROR(IF($H363+1&gt;'(backend scoring)'!$Q$335,"",$H363+1),"")</f>
        <v/>
      </c>
      <c r="I364" s="241" t="str">
        <f>_xlfn.XLOOKUP($H364,'(backend scoring)'!$S$2:$S$333,'(backend scoring)'!$A$2:$A$333,"")</f>
        <v/>
      </c>
      <c r="J364" s="241" t="str">
        <f>IFERROR(VLOOKUP($I364,'Institution Evaluation'!$A$55:$F$345,2,0),IFERROR(VLOOKUP($I364,'Privacy Analyst Evaluation'!$A$46:$F$120,2,0),""))</f>
        <v/>
      </c>
      <c r="K364" s="241" t="str">
        <f>IFERROR(VLOOKUP($I364,'Institution Evaluation'!$A$55:$F$345,3,0),IFERROR(VLOOKUP($I364,'Privacy Analyst Evaluation'!$A$46:$F$120,3,0),""))&amp;""</f>
        <v/>
      </c>
      <c r="L364" s="241" t="str">
        <f>IFERROR(VLOOKUP($I364,'Institution Evaluation'!$A$55:$F$345,4,0),IFERROR(VLOOKUP($I364,'Privacy Analyst Evaluation'!$A$46:$F$120,4,0),""))&amp;""</f>
        <v/>
      </c>
      <c r="M364" s="241" t="str">
        <f>IFERROR(VLOOKUP($I364,'Institution Evaluation'!$A$55:$F$345,6,0),IFERROR(VLOOKUP($I364,'Privacy Analyst Evaluation'!$A$46:$F$120,6,0),""))&amp;""</f>
        <v/>
      </c>
    </row>
    <row r="365" spans="1:338" ht="17" x14ac:dyDescent="0.2">
      <c r="A365" s="241" t="str">
        <f>IFERROR(IF($A364+1&gt;'(backend scoring)'!$T$335,"",$A364+1),"")</f>
        <v/>
      </c>
      <c r="B365" s="241" t="str">
        <f>_xlfn.XLOOKUP($A365,'(backend scoring)'!$V$2:$V$333,'(backend scoring)'!$A$2:$A$333,"")</f>
        <v/>
      </c>
      <c r="C365" s="241" t="str">
        <f>IFERROR(VLOOKUP($B365,'Institution Evaluation'!$A$55:$F$345,2,0),IFERROR(VLOOKUP($B365,'Privacy Analyst Evaluation'!$A$46:$F$120,2,0),""))&amp;""</f>
        <v/>
      </c>
      <c r="D365" s="241" t="str">
        <f>IFERROR(VLOOKUP($B365,'Institution Evaluation'!$A$55:$F$345,3,0),IFERROR(VLOOKUP($B365,'Privacy Analyst Evaluation'!$A$46:$F$120,3,0),""))&amp;""</f>
        <v/>
      </c>
      <c r="E365" s="241" t="str">
        <f>IFERROR(VLOOKUP($B365,'Institution Evaluation'!$A$55:$F$345,4,0),IFERROR(VLOOKUP($B365,'Privacy Analyst Evaluation'!$A$46:$F$120,4,0),""))&amp;""</f>
        <v/>
      </c>
      <c r="F365" s="241" t="str">
        <f>IFERROR(VLOOKUP($B365,'Institution Evaluation'!$A$55:$F$345,6,0),IFERROR(VLOOKUP($B365,'Privacy Analyst Evaluation'!$A$46:$F$120,6,0),""))&amp;""</f>
        <v/>
      </c>
      <c r="G365" s="242"/>
      <c r="H365" s="241" t="str">
        <f>IFERROR(IF($H364+1&gt;'(backend scoring)'!$Q$335,"",$H364+1),"")</f>
        <v/>
      </c>
      <c r="I365" s="241" t="str">
        <f>_xlfn.XLOOKUP($H365,'(backend scoring)'!$S$2:$S$333,'(backend scoring)'!$A$2:$A$333,"")</f>
        <v/>
      </c>
      <c r="J365" s="241" t="str">
        <f>IFERROR(VLOOKUP($I365,'Institution Evaluation'!$A$55:$F$345,2,0),IFERROR(VLOOKUP($I365,'Privacy Analyst Evaluation'!$A$46:$F$120,2,0),""))</f>
        <v/>
      </c>
      <c r="K365" s="241" t="str">
        <f>IFERROR(VLOOKUP($I365,'Institution Evaluation'!$A$55:$F$345,3,0),IFERROR(VLOOKUP($I365,'Privacy Analyst Evaluation'!$A$46:$F$120,3,0),""))&amp;""</f>
        <v/>
      </c>
      <c r="L365" s="241" t="str">
        <f>IFERROR(VLOOKUP($I365,'Institution Evaluation'!$A$55:$F$345,4,0),IFERROR(VLOOKUP($I365,'Privacy Analyst Evaluation'!$A$46:$F$120,4,0),""))&amp;""</f>
        <v/>
      </c>
      <c r="M365" s="241" t="str">
        <f>IFERROR(VLOOKUP($I365,'Institution Evaluation'!$A$55:$F$345,6,0),IFERROR(VLOOKUP($I365,'Privacy Analyst Evaluation'!$A$46:$F$120,6,0),""))&amp;""</f>
        <v/>
      </c>
    </row>
    <row r="366" spans="1:338" ht="17" x14ac:dyDescent="0.2">
      <c r="A366" s="241" t="str">
        <f>IFERROR(IF($A365+1&gt;'(backend scoring)'!$T$335,"",$A365+1),"")</f>
        <v/>
      </c>
      <c r="B366" s="241" t="str">
        <f>_xlfn.XLOOKUP($A366,'(backend scoring)'!$V$2:$V$333,'(backend scoring)'!$A$2:$A$333,"")</f>
        <v/>
      </c>
      <c r="C366" s="241" t="str">
        <f>IFERROR(VLOOKUP($B366,'Institution Evaluation'!$A$55:$F$345,2,0),IFERROR(VLOOKUP($B366,'Privacy Analyst Evaluation'!$A$46:$F$120,2,0),""))&amp;""</f>
        <v/>
      </c>
      <c r="D366" s="241" t="str">
        <f>IFERROR(VLOOKUP($B366,'Institution Evaluation'!$A$55:$F$345,3,0),IFERROR(VLOOKUP($B366,'Privacy Analyst Evaluation'!$A$46:$F$120,3,0),""))&amp;""</f>
        <v/>
      </c>
      <c r="E366" s="241" t="str">
        <f>IFERROR(VLOOKUP($B366,'Institution Evaluation'!$A$55:$F$345,4,0),IFERROR(VLOOKUP($B366,'Privacy Analyst Evaluation'!$A$46:$F$120,4,0),""))&amp;""</f>
        <v/>
      </c>
      <c r="F366" s="241" t="str">
        <f>IFERROR(VLOOKUP($B366,'Institution Evaluation'!$A$55:$F$345,6,0),IFERROR(VLOOKUP($B366,'Privacy Analyst Evaluation'!$A$46:$F$120,6,0),""))&amp;""</f>
        <v/>
      </c>
      <c r="G366" s="242"/>
      <c r="H366" s="241" t="str">
        <f>IFERROR(IF($H365+1&gt;'(backend scoring)'!$Q$335,"",$H365+1),"")</f>
        <v/>
      </c>
      <c r="I366" s="241" t="str">
        <f>_xlfn.XLOOKUP($H366,'(backend scoring)'!$S$2:$S$333,'(backend scoring)'!$A$2:$A$333,"")</f>
        <v/>
      </c>
      <c r="J366" s="241" t="str">
        <f>IFERROR(VLOOKUP($I366,'Institution Evaluation'!$A$55:$F$345,2,0),IFERROR(VLOOKUP($I366,'Privacy Analyst Evaluation'!$A$46:$F$120,2,0),""))</f>
        <v/>
      </c>
      <c r="K366" s="241" t="str">
        <f>IFERROR(VLOOKUP($I366,'Institution Evaluation'!$A$55:$F$345,3,0),IFERROR(VLOOKUP($I366,'Privacy Analyst Evaluation'!$A$46:$F$120,3,0),""))&amp;""</f>
        <v/>
      </c>
      <c r="L366" s="241" t="str">
        <f>IFERROR(VLOOKUP($I366,'Institution Evaluation'!$A$55:$F$345,4,0),IFERROR(VLOOKUP($I366,'Privacy Analyst Evaluation'!$A$46:$F$120,4,0),""))&amp;""</f>
        <v/>
      </c>
      <c r="M366" s="241" t="str">
        <f>IFERROR(VLOOKUP($I366,'Institution Evaluation'!$A$55:$F$345,6,0),IFERROR(VLOOKUP($I366,'Privacy Analyst Evaluation'!$A$46:$F$120,6,0),""))&amp;""</f>
        <v/>
      </c>
    </row>
    <row r="367" spans="1:338" ht="17" x14ac:dyDescent="0.2">
      <c r="A367" s="241" t="str">
        <f>IFERROR(IF($A366+1&gt;'(backend scoring)'!$T$335,"",$A366+1),"")</f>
        <v/>
      </c>
      <c r="B367" s="241" t="str">
        <f>_xlfn.XLOOKUP($A367,'(backend scoring)'!$V$2:$V$333,'(backend scoring)'!$A$2:$A$333,"")</f>
        <v/>
      </c>
      <c r="C367" s="241" t="str">
        <f>IFERROR(VLOOKUP($B367,'Institution Evaluation'!$A$55:$F$345,2,0),IFERROR(VLOOKUP($B367,'Privacy Analyst Evaluation'!$A$46:$F$120,2,0),""))&amp;""</f>
        <v/>
      </c>
      <c r="D367" s="241" t="str">
        <f>IFERROR(VLOOKUP($B367,'Institution Evaluation'!$A$55:$F$345,3,0),IFERROR(VLOOKUP($B367,'Privacy Analyst Evaluation'!$A$46:$F$120,3,0),""))&amp;""</f>
        <v/>
      </c>
      <c r="E367" s="241" t="str">
        <f>IFERROR(VLOOKUP($B367,'Institution Evaluation'!$A$55:$F$345,4,0),IFERROR(VLOOKUP($B367,'Privacy Analyst Evaluation'!$A$46:$F$120,4,0),""))&amp;""</f>
        <v/>
      </c>
      <c r="F367" s="241" t="str">
        <f>IFERROR(VLOOKUP($B367,'Institution Evaluation'!$A$55:$F$345,6,0),IFERROR(VLOOKUP($B367,'Privacy Analyst Evaluation'!$A$46:$F$120,6,0),""))&amp;""</f>
        <v/>
      </c>
      <c r="G367" s="242"/>
      <c r="H367" s="241" t="str">
        <f>IFERROR(IF($H366+1&gt;'(backend scoring)'!$Q$335,"",$H366+1),"")</f>
        <v/>
      </c>
      <c r="I367" s="241" t="str">
        <f>_xlfn.XLOOKUP($H367,'(backend scoring)'!$S$2:$S$333,'(backend scoring)'!$A$2:$A$333,"")</f>
        <v/>
      </c>
      <c r="J367" s="241" t="str">
        <f>IFERROR(VLOOKUP($I367,'Institution Evaluation'!$A$55:$F$345,2,0),IFERROR(VLOOKUP($I367,'Privacy Analyst Evaluation'!$A$46:$F$120,2,0),""))</f>
        <v/>
      </c>
      <c r="K367" s="241" t="str">
        <f>IFERROR(VLOOKUP($I367,'Institution Evaluation'!$A$55:$F$345,3,0),IFERROR(VLOOKUP($I367,'Privacy Analyst Evaluation'!$A$46:$F$120,3,0),""))&amp;""</f>
        <v/>
      </c>
      <c r="L367" s="241" t="str">
        <f>IFERROR(VLOOKUP($I367,'Institution Evaluation'!$A$55:$F$345,4,0),IFERROR(VLOOKUP($I367,'Privacy Analyst Evaluation'!$A$46:$F$120,4,0),""))&amp;""</f>
        <v/>
      </c>
      <c r="M367" s="241" t="str">
        <f>IFERROR(VLOOKUP($I367,'Institution Evaluation'!$A$55:$F$345,6,0),IFERROR(VLOOKUP($I367,'Privacy Analyst Evaluation'!$A$46:$F$120,6,0),""))&amp;""</f>
        <v/>
      </c>
    </row>
    <row r="368" spans="1:338" ht="17" x14ac:dyDescent="0.15">
      <c r="A368" s="241" t="str">
        <f>IFERROR(IF($A367+1&gt;'(backend scoring)'!$T$335,"",$A367+1),"")</f>
        <v/>
      </c>
      <c r="B368" s="241" t="str">
        <f>_xlfn.XLOOKUP($A368,'(backend scoring)'!$V$2:$V$333,'(backend scoring)'!$A$2:$A$333,"")</f>
        <v/>
      </c>
      <c r="C368" s="241" t="str">
        <f>IFERROR(VLOOKUP($B368,'Institution Evaluation'!$A$55:$F$345,2,0),IFERROR(VLOOKUP($B368,'Privacy Analyst Evaluation'!$A$46:$F$120,2,0),""))&amp;""</f>
        <v/>
      </c>
      <c r="D368" s="241" t="str">
        <f>IFERROR(VLOOKUP($B368,'Institution Evaluation'!$A$55:$F$345,3,0),IFERROR(VLOOKUP($B368,'Privacy Analyst Evaluation'!$A$46:$F$120,3,0),""))&amp;""</f>
        <v/>
      </c>
      <c r="E368" s="241" t="str">
        <f>IFERROR(VLOOKUP($B368,'Institution Evaluation'!$A$55:$F$345,4,0),IFERROR(VLOOKUP($B368,'Privacy Analyst Evaluation'!$A$46:$F$120,4,0),""))&amp;""</f>
        <v/>
      </c>
      <c r="F368" s="241" t="str">
        <f>IFERROR(VLOOKUP($B368,'Institution Evaluation'!$A$55:$F$345,6,0),IFERROR(VLOOKUP($B368,'Privacy Analyst Evaluation'!$A$46:$F$120,6,0),""))&amp;""</f>
        <v/>
      </c>
      <c r="G368" s="242"/>
      <c r="H368" s="241" t="str">
        <f>IFERROR(IF($H367+1&gt;'(backend scoring)'!$Q$335,"",$H367+1),"")</f>
        <v/>
      </c>
      <c r="I368" s="241" t="str">
        <f>_xlfn.XLOOKUP($H368,'(backend scoring)'!$S$2:$S$333,'(backend scoring)'!$A$2:$A$333,"")</f>
        <v/>
      </c>
      <c r="J368" s="241" t="str">
        <f>IFERROR(VLOOKUP($I368,'Institution Evaluation'!$A$55:$F$345,2,0),IFERROR(VLOOKUP($I368,'Privacy Analyst Evaluation'!$A$46:$F$120,2,0),""))</f>
        <v/>
      </c>
      <c r="K368" s="241" t="str">
        <f>IFERROR(VLOOKUP($I368,'Institution Evaluation'!$A$55:$F$345,3,0),IFERROR(VLOOKUP($I368,'Privacy Analyst Evaluation'!$A$46:$F$120,3,0),""))&amp;""</f>
        <v/>
      </c>
      <c r="L368" s="241" t="str">
        <f>IFERROR(VLOOKUP($I368,'Institution Evaluation'!$A$55:$F$345,4,0),IFERROR(VLOOKUP($I368,'Privacy Analyst Evaluation'!$A$46:$F$120,4,0),""))&amp;""</f>
        <v/>
      </c>
      <c r="M368" s="241" t="str">
        <f>IFERROR(VLOOKUP($I368,'Institution Evaluation'!$A$55:$F$345,6,0),IFERROR(VLOOKUP($I368,'Privacy Analyst Evaluation'!$A$46:$F$120,6,0),""))&amp;""</f>
        <v/>
      </c>
      <c r="N368" s="62" t="s">
        <v>35</v>
      </c>
    </row>
    <row r="369" spans="1:2" x14ac:dyDescent="0.2">
      <c r="A369" s="90" t="s">
        <v>332</v>
      </c>
      <c r="B369" s="90" t="s">
        <v>332</v>
      </c>
    </row>
    <row r="370" spans="1:2" hidden="1" x14ac:dyDescent="0.2">
      <c r="A370"/>
      <c r="B370"/>
    </row>
    <row r="371" spans="1:2" hidden="1" x14ac:dyDescent="0.2">
      <c r="A371"/>
      <c r="B371"/>
    </row>
    <row r="372" spans="1:2" hidden="1" x14ac:dyDescent="0.2">
      <c r="A372"/>
      <c r="B372"/>
    </row>
    <row r="373" spans="1:2" hidden="1" x14ac:dyDescent="0.2">
      <c r="A373"/>
      <c r="B373"/>
    </row>
    <row r="374" spans="1:2" hidden="1" x14ac:dyDescent="0.2">
      <c r="A374"/>
      <c r="B374"/>
    </row>
    <row r="375" spans="1:2" hidden="1" x14ac:dyDescent="0.2">
      <c r="A375"/>
      <c r="B375"/>
    </row>
    <row r="376" spans="1:2" hidden="1" x14ac:dyDescent="0.2">
      <c r="A376"/>
      <c r="B376"/>
    </row>
    <row r="377" spans="1:2" hidden="1" x14ac:dyDescent="0.2">
      <c r="A377"/>
      <c r="B377"/>
    </row>
    <row r="378" spans="1:2" hidden="1" x14ac:dyDescent="0.2">
      <c r="A378"/>
      <c r="B378"/>
    </row>
    <row r="379" spans="1:2" hidden="1" x14ac:dyDescent="0.2">
      <c r="A379"/>
      <c r="B379"/>
    </row>
    <row r="380" spans="1:2" hidden="1" x14ac:dyDescent="0.2">
      <c r="A380"/>
      <c r="B380"/>
    </row>
    <row r="381" spans="1:2" hidden="1" x14ac:dyDescent="0.2">
      <c r="A381"/>
      <c r="B381"/>
    </row>
    <row r="382" spans="1:2" hidden="1" x14ac:dyDescent="0.2">
      <c r="A382"/>
      <c r="B382"/>
    </row>
    <row r="383" spans="1:2" hidden="1" x14ac:dyDescent="0.2">
      <c r="A383"/>
      <c r="B383"/>
    </row>
    <row r="384" spans="1:2" hidden="1" x14ac:dyDescent="0.2">
      <c r="A384"/>
      <c r="B384"/>
    </row>
    <row r="385" spans="1:2" hidden="1" x14ac:dyDescent="0.2">
      <c r="A385"/>
      <c r="B385"/>
    </row>
    <row r="386" spans="1:2" hidden="1" x14ac:dyDescent="0.2">
      <c r="A386"/>
      <c r="B386"/>
    </row>
    <row r="387" spans="1:2" hidden="1" x14ac:dyDescent="0.2">
      <c r="A387"/>
      <c r="B387"/>
    </row>
    <row r="388" spans="1:2" hidden="1" x14ac:dyDescent="0.2">
      <c r="A388"/>
      <c r="B388"/>
    </row>
    <row r="389" spans="1:2" hidden="1" x14ac:dyDescent="0.2">
      <c r="A389"/>
      <c r="B389"/>
    </row>
    <row r="390" spans="1:2" hidden="1" x14ac:dyDescent="0.2">
      <c r="A390"/>
      <c r="B390"/>
    </row>
    <row r="391" spans="1:2" hidden="1" x14ac:dyDescent="0.2">
      <c r="A391"/>
      <c r="B391"/>
    </row>
    <row r="392" spans="1:2" hidden="1" x14ac:dyDescent="0.2">
      <c r="A392"/>
      <c r="B392"/>
    </row>
    <row r="393" spans="1:2" hidden="1" x14ac:dyDescent="0.2">
      <c r="A393"/>
      <c r="B393"/>
    </row>
    <row r="394" spans="1:2" hidden="1" x14ac:dyDescent="0.2">
      <c r="A394"/>
      <c r="B394"/>
    </row>
    <row r="395" spans="1:2" hidden="1" x14ac:dyDescent="0.2">
      <c r="A395"/>
      <c r="B395"/>
    </row>
    <row r="396" spans="1:2" hidden="1" x14ac:dyDescent="0.2">
      <c r="A396"/>
      <c r="B396"/>
    </row>
    <row r="397" spans="1:2" hidden="1" x14ac:dyDescent="0.2">
      <c r="A397"/>
      <c r="B397"/>
    </row>
    <row r="398" spans="1:2" hidden="1" x14ac:dyDescent="0.2">
      <c r="A398"/>
      <c r="B398"/>
    </row>
    <row r="399" spans="1:2" hidden="1" x14ac:dyDescent="0.2">
      <c r="A399"/>
      <c r="B399"/>
    </row>
    <row r="400" spans="1:2" hidden="1" x14ac:dyDescent="0.2">
      <c r="A400"/>
      <c r="B400"/>
    </row>
    <row r="401" spans="1:2" hidden="1" x14ac:dyDescent="0.2">
      <c r="A401"/>
      <c r="B401"/>
    </row>
    <row r="402" spans="1:2" hidden="1" x14ac:dyDescent="0.2">
      <c r="A402"/>
      <c r="B402"/>
    </row>
    <row r="403" spans="1:2" hidden="1" x14ac:dyDescent="0.2">
      <c r="A403"/>
      <c r="B403"/>
    </row>
    <row r="404" spans="1:2" hidden="1" x14ac:dyDescent="0.2">
      <c r="A404"/>
      <c r="B404"/>
    </row>
    <row r="405" spans="1:2" hidden="1" x14ac:dyDescent="0.2">
      <c r="A405"/>
      <c r="B405"/>
    </row>
    <row r="406" spans="1:2" hidden="1" x14ac:dyDescent="0.2">
      <c r="A406"/>
      <c r="B406"/>
    </row>
    <row r="407" spans="1:2" hidden="1" x14ac:dyDescent="0.2">
      <c r="A407"/>
      <c r="B407"/>
    </row>
    <row r="408" spans="1:2" hidden="1" x14ac:dyDescent="0.2">
      <c r="A408"/>
      <c r="B408"/>
    </row>
    <row r="409" spans="1:2" hidden="1" x14ac:dyDescent="0.2">
      <c r="A409"/>
      <c r="B409"/>
    </row>
    <row r="410" spans="1:2" hidden="1" x14ac:dyDescent="0.2">
      <c r="A410"/>
      <c r="B410"/>
    </row>
    <row r="411" spans="1:2" hidden="1" x14ac:dyDescent="0.2">
      <c r="A411"/>
      <c r="B411"/>
    </row>
    <row r="412" spans="1:2" hidden="1" x14ac:dyDescent="0.2">
      <c r="A412"/>
      <c r="B412"/>
    </row>
    <row r="413" spans="1:2" hidden="1" x14ac:dyDescent="0.2">
      <c r="A413"/>
      <c r="B413"/>
    </row>
    <row r="414" spans="1:2" hidden="1" x14ac:dyDescent="0.2">
      <c r="A414"/>
      <c r="B414"/>
    </row>
    <row r="415" spans="1:2" hidden="1" x14ac:dyDescent="0.2">
      <c r="A415"/>
      <c r="B415"/>
    </row>
    <row r="416" spans="1:2" hidden="1" x14ac:dyDescent="0.2">
      <c r="A416"/>
      <c r="B416"/>
    </row>
    <row r="417" spans="1:2" hidden="1" x14ac:dyDescent="0.2">
      <c r="A417"/>
      <c r="B417"/>
    </row>
    <row r="418" spans="1:2" hidden="1" x14ac:dyDescent="0.2">
      <c r="A418"/>
      <c r="B418"/>
    </row>
    <row r="419" spans="1:2" hidden="1" x14ac:dyDescent="0.2">
      <c r="A419"/>
      <c r="B419"/>
    </row>
    <row r="420" spans="1:2" hidden="1" x14ac:dyDescent="0.2">
      <c r="A420"/>
      <c r="B420"/>
    </row>
    <row r="421" spans="1:2" hidden="1" x14ac:dyDescent="0.2">
      <c r="A421"/>
      <c r="B421"/>
    </row>
    <row r="422" spans="1:2" hidden="1" x14ac:dyDescent="0.2">
      <c r="A422"/>
      <c r="B422"/>
    </row>
    <row r="423" spans="1:2" hidden="1" x14ac:dyDescent="0.2">
      <c r="A423"/>
      <c r="B423"/>
    </row>
    <row r="424" spans="1:2" hidden="1" x14ac:dyDescent="0.2">
      <c r="A424"/>
      <c r="B424"/>
    </row>
    <row r="425" spans="1:2" hidden="1" x14ac:dyDescent="0.2">
      <c r="A425"/>
      <c r="B425"/>
    </row>
    <row r="426" spans="1:2" hidden="1" x14ac:dyDescent="0.2">
      <c r="A426"/>
      <c r="B426"/>
    </row>
    <row r="427" spans="1:2" hidden="1" x14ac:dyDescent="0.2">
      <c r="A427"/>
      <c r="B427"/>
    </row>
    <row r="428" spans="1:2" hidden="1" x14ac:dyDescent="0.2">
      <c r="A428"/>
      <c r="B428"/>
    </row>
    <row r="429" spans="1:2" hidden="1" x14ac:dyDescent="0.2">
      <c r="A429"/>
      <c r="B429"/>
    </row>
    <row r="430" spans="1:2" hidden="1" x14ac:dyDescent="0.2">
      <c r="A430"/>
      <c r="B430"/>
    </row>
    <row r="431" spans="1:2" hidden="1" x14ac:dyDescent="0.2">
      <c r="A431"/>
      <c r="B431"/>
    </row>
    <row r="432" spans="1:2" hidden="1" x14ac:dyDescent="0.2">
      <c r="A432"/>
      <c r="B432"/>
    </row>
    <row r="433" spans="1:2" hidden="1" x14ac:dyDescent="0.2">
      <c r="A433"/>
      <c r="B433"/>
    </row>
    <row r="434" spans="1:2" hidden="1" x14ac:dyDescent="0.2">
      <c r="A434"/>
      <c r="B434"/>
    </row>
    <row r="435" spans="1:2" hidden="1" x14ac:dyDescent="0.2">
      <c r="A435"/>
      <c r="B435"/>
    </row>
    <row r="436" spans="1:2" hidden="1" x14ac:dyDescent="0.2">
      <c r="A436"/>
      <c r="B436"/>
    </row>
    <row r="437" spans="1:2" hidden="1" x14ac:dyDescent="0.2">
      <c r="A437"/>
      <c r="B437"/>
    </row>
    <row r="438" spans="1:2" hidden="1" x14ac:dyDescent="0.2">
      <c r="A438"/>
      <c r="B438"/>
    </row>
    <row r="439" spans="1:2" hidden="1" x14ac:dyDescent="0.2">
      <c r="A439"/>
      <c r="B439"/>
    </row>
    <row r="440" spans="1:2" hidden="1" x14ac:dyDescent="0.2">
      <c r="A440"/>
      <c r="B440"/>
    </row>
    <row r="441" spans="1:2" hidden="1" x14ac:dyDescent="0.2">
      <c r="A441"/>
      <c r="B441"/>
    </row>
    <row r="442" spans="1:2" hidden="1" x14ac:dyDescent="0.2">
      <c r="A442"/>
      <c r="B442"/>
    </row>
    <row r="443" spans="1:2" hidden="1" x14ac:dyDescent="0.2">
      <c r="A443"/>
      <c r="B443"/>
    </row>
    <row r="444" spans="1:2" hidden="1" x14ac:dyDescent="0.2">
      <c r="A444"/>
      <c r="B444"/>
    </row>
    <row r="445" spans="1:2" hidden="1" x14ac:dyDescent="0.2">
      <c r="A445"/>
      <c r="B445"/>
    </row>
    <row r="446" spans="1:2" hidden="1" x14ac:dyDescent="0.2">
      <c r="A446"/>
      <c r="B446"/>
    </row>
    <row r="447" spans="1:2" hidden="1" x14ac:dyDescent="0.2">
      <c r="A447"/>
      <c r="B447"/>
    </row>
    <row r="448" spans="1:2" hidden="1" x14ac:dyDescent="0.2">
      <c r="A448"/>
      <c r="B448"/>
    </row>
    <row r="449" spans="1:2" hidden="1" x14ac:dyDescent="0.2">
      <c r="A449"/>
      <c r="B449"/>
    </row>
    <row r="450" spans="1:2" hidden="1" x14ac:dyDescent="0.2">
      <c r="A450"/>
      <c r="B450"/>
    </row>
    <row r="451" spans="1:2" hidden="1" x14ac:dyDescent="0.2">
      <c r="A451"/>
      <c r="B451"/>
    </row>
    <row r="452" spans="1:2" hidden="1" x14ac:dyDescent="0.2">
      <c r="A452"/>
      <c r="B452"/>
    </row>
    <row r="453" spans="1:2" hidden="1" x14ac:dyDescent="0.2">
      <c r="A453"/>
      <c r="B453"/>
    </row>
    <row r="454" spans="1:2" hidden="1" x14ac:dyDescent="0.2">
      <c r="A454"/>
      <c r="B454"/>
    </row>
    <row r="455" spans="1:2" hidden="1" x14ac:dyDescent="0.2">
      <c r="A455"/>
      <c r="B455"/>
    </row>
    <row r="456" spans="1:2" hidden="1" x14ac:dyDescent="0.2">
      <c r="A456"/>
      <c r="B456"/>
    </row>
    <row r="457" spans="1:2" hidden="1" x14ac:dyDescent="0.2">
      <c r="A457"/>
      <c r="B457"/>
    </row>
    <row r="458" spans="1:2" hidden="1" x14ac:dyDescent="0.2">
      <c r="A458"/>
      <c r="B458"/>
    </row>
    <row r="459" spans="1:2" hidden="1" x14ac:dyDescent="0.2">
      <c r="A459"/>
      <c r="B459"/>
    </row>
    <row r="460" spans="1:2" hidden="1" x14ac:dyDescent="0.2">
      <c r="A460"/>
      <c r="B460"/>
    </row>
    <row r="461" spans="1:2" hidden="1" x14ac:dyDescent="0.2">
      <c r="A461"/>
      <c r="B461"/>
    </row>
    <row r="462" spans="1:2" hidden="1" x14ac:dyDescent="0.2">
      <c r="A462"/>
      <c r="B462"/>
    </row>
    <row r="463" spans="1:2" hidden="1" x14ac:dyDescent="0.2">
      <c r="A463"/>
      <c r="B463"/>
    </row>
    <row r="464" spans="1:2" hidden="1" x14ac:dyDescent="0.2">
      <c r="A464"/>
      <c r="B464"/>
    </row>
    <row r="465" spans="1:2" hidden="1" x14ac:dyDescent="0.2">
      <c r="A465"/>
      <c r="B465"/>
    </row>
    <row r="466" spans="1:2" hidden="1" x14ac:dyDescent="0.2">
      <c r="A466"/>
      <c r="B466"/>
    </row>
    <row r="467" spans="1:2" hidden="1" x14ac:dyDescent="0.2">
      <c r="A467"/>
      <c r="B467"/>
    </row>
    <row r="468" spans="1:2" hidden="1" x14ac:dyDescent="0.2">
      <c r="A468"/>
      <c r="B468"/>
    </row>
    <row r="469" spans="1:2" hidden="1" x14ac:dyDescent="0.2">
      <c r="A469"/>
      <c r="B469"/>
    </row>
    <row r="470" spans="1:2" hidden="1" x14ac:dyDescent="0.2">
      <c r="A470"/>
      <c r="B470"/>
    </row>
    <row r="471" spans="1:2" hidden="1" x14ac:dyDescent="0.2">
      <c r="A471"/>
      <c r="B471"/>
    </row>
    <row r="472" spans="1:2" hidden="1" x14ac:dyDescent="0.2">
      <c r="A472"/>
      <c r="B472"/>
    </row>
    <row r="473" spans="1:2" hidden="1" x14ac:dyDescent="0.2">
      <c r="A473"/>
      <c r="B473"/>
    </row>
    <row r="474" spans="1:2" hidden="1" x14ac:dyDescent="0.2">
      <c r="A474"/>
      <c r="B474"/>
    </row>
    <row r="475" spans="1:2" hidden="1" x14ac:dyDescent="0.2">
      <c r="A475"/>
      <c r="B475"/>
    </row>
    <row r="476" spans="1:2" hidden="1" x14ac:dyDescent="0.2">
      <c r="A476"/>
      <c r="B476"/>
    </row>
    <row r="477" spans="1:2" hidden="1" x14ac:dyDescent="0.2">
      <c r="A477"/>
      <c r="B477"/>
    </row>
    <row r="478" spans="1:2" hidden="1" x14ac:dyDescent="0.2">
      <c r="A478"/>
      <c r="B478"/>
    </row>
    <row r="479" spans="1:2" hidden="1" x14ac:dyDescent="0.2">
      <c r="A479"/>
      <c r="B479"/>
    </row>
    <row r="480" spans="1:2" hidden="1" x14ac:dyDescent="0.2">
      <c r="A480"/>
      <c r="B480"/>
    </row>
    <row r="481" spans="1:2" hidden="1" x14ac:dyDescent="0.2">
      <c r="A481"/>
      <c r="B481"/>
    </row>
    <row r="482" spans="1:2" hidden="1" x14ac:dyDescent="0.2">
      <c r="A482"/>
      <c r="B482"/>
    </row>
    <row r="483" spans="1:2" hidden="1" x14ac:dyDescent="0.2">
      <c r="A483"/>
      <c r="B483"/>
    </row>
    <row r="484" spans="1:2" hidden="1" x14ac:dyDescent="0.2">
      <c r="A484"/>
      <c r="B484"/>
    </row>
    <row r="485" spans="1:2" hidden="1" x14ac:dyDescent="0.2">
      <c r="A485"/>
      <c r="B485"/>
    </row>
    <row r="486" spans="1:2" hidden="1" x14ac:dyDescent="0.2">
      <c r="A486"/>
      <c r="B486"/>
    </row>
    <row r="487" spans="1:2" hidden="1" x14ac:dyDescent="0.2">
      <c r="A487"/>
      <c r="B487"/>
    </row>
    <row r="488" spans="1:2" hidden="1" x14ac:dyDescent="0.2">
      <c r="A488"/>
      <c r="B488"/>
    </row>
    <row r="489" spans="1:2" hidden="1" x14ac:dyDescent="0.2">
      <c r="A489"/>
      <c r="B489"/>
    </row>
    <row r="490" spans="1:2" hidden="1" x14ac:dyDescent="0.2">
      <c r="A490"/>
      <c r="B490"/>
    </row>
    <row r="491" spans="1:2" hidden="1" x14ac:dyDescent="0.2">
      <c r="A491"/>
      <c r="B491"/>
    </row>
    <row r="492" spans="1:2" hidden="1" x14ac:dyDescent="0.2">
      <c r="A492"/>
      <c r="B492"/>
    </row>
    <row r="493" spans="1:2" hidden="1" x14ac:dyDescent="0.2">
      <c r="A493"/>
      <c r="B493"/>
    </row>
    <row r="494" spans="1:2" hidden="1" x14ac:dyDescent="0.2">
      <c r="A494"/>
      <c r="B494"/>
    </row>
    <row r="495" spans="1:2" hidden="1" x14ac:dyDescent="0.2">
      <c r="A495"/>
      <c r="B495"/>
    </row>
    <row r="496" spans="1:2" hidden="1" x14ac:dyDescent="0.2">
      <c r="A496"/>
      <c r="B496"/>
    </row>
    <row r="497" spans="1:2" hidden="1" x14ac:dyDescent="0.2">
      <c r="A497"/>
      <c r="B497"/>
    </row>
    <row r="498" spans="1:2" hidden="1" x14ac:dyDescent="0.2">
      <c r="A498"/>
      <c r="B498"/>
    </row>
    <row r="499" spans="1:2" hidden="1" x14ac:dyDescent="0.2">
      <c r="A499"/>
      <c r="B499"/>
    </row>
    <row r="500" spans="1:2" hidden="1" x14ac:dyDescent="0.2">
      <c r="A500"/>
      <c r="B500"/>
    </row>
    <row r="501" spans="1:2" hidden="1" x14ac:dyDescent="0.2">
      <c r="A501"/>
      <c r="B501"/>
    </row>
    <row r="502" spans="1:2" hidden="1" x14ac:dyDescent="0.2">
      <c r="A502"/>
      <c r="B502"/>
    </row>
    <row r="503" spans="1:2" hidden="1" x14ac:dyDescent="0.2">
      <c r="A503"/>
      <c r="B503"/>
    </row>
    <row r="504" spans="1:2" hidden="1" x14ac:dyDescent="0.2">
      <c r="A504"/>
      <c r="B504"/>
    </row>
    <row r="505" spans="1:2" hidden="1" x14ac:dyDescent="0.2">
      <c r="A505"/>
      <c r="B505"/>
    </row>
    <row r="506" spans="1:2" hidden="1" x14ac:dyDescent="0.2">
      <c r="A506"/>
      <c r="B506"/>
    </row>
    <row r="507" spans="1:2" hidden="1" x14ac:dyDescent="0.2">
      <c r="A507"/>
      <c r="B507"/>
    </row>
    <row r="508" spans="1:2" hidden="1" x14ac:dyDescent="0.2">
      <c r="A508"/>
      <c r="B508"/>
    </row>
    <row r="509" spans="1:2" hidden="1" x14ac:dyDescent="0.2">
      <c r="A509"/>
      <c r="B509"/>
    </row>
    <row r="510" spans="1:2" hidden="1" x14ac:dyDescent="0.2">
      <c r="A510"/>
      <c r="B510"/>
    </row>
    <row r="511" spans="1:2" hidden="1" x14ac:dyDescent="0.2">
      <c r="A511"/>
      <c r="B511"/>
    </row>
    <row r="512" spans="1:2" hidden="1" x14ac:dyDescent="0.2">
      <c r="A512"/>
      <c r="B512"/>
    </row>
    <row r="513" spans="1:2" hidden="1" x14ac:dyDescent="0.2">
      <c r="A513"/>
      <c r="B513"/>
    </row>
    <row r="514" spans="1:2" hidden="1" x14ac:dyDescent="0.2">
      <c r="A514"/>
      <c r="B514"/>
    </row>
    <row r="515" spans="1:2" hidden="1" x14ac:dyDescent="0.2">
      <c r="A515"/>
      <c r="B515"/>
    </row>
    <row r="516" spans="1:2" hidden="1" x14ac:dyDescent="0.2">
      <c r="A516"/>
      <c r="B516"/>
    </row>
    <row r="517" spans="1:2" hidden="1" x14ac:dyDescent="0.2">
      <c r="A517"/>
      <c r="B517"/>
    </row>
    <row r="518" spans="1:2" hidden="1" x14ac:dyDescent="0.2">
      <c r="A518"/>
      <c r="B518"/>
    </row>
    <row r="519" spans="1:2" hidden="1" x14ac:dyDescent="0.2">
      <c r="A519"/>
      <c r="B519"/>
    </row>
    <row r="520" spans="1:2" hidden="1" x14ac:dyDescent="0.2">
      <c r="A520"/>
      <c r="B520"/>
    </row>
    <row r="521" spans="1:2" hidden="1" x14ac:dyDescent="0.2">
      <c r="A521"/>
      <c r="B521"/>
    </row>
    <row r="522" spans="1:2" hidden="1" x14ac:dyDescent="0.2">
      <c r="A522"/>
      <c r="B522"/>
    </row>
    <row r="523" spans="1:2" hidden="1" x14ac:dyDescent="0.2">
      <c r="A523"/>
      <c r="B523"/>
    </row>
    <row r="524" spans="1:2" hidden="1" x14ac:dyDescent="0.2">
      <c r="A524"/>
      <c r="B524"/>
    </row>
    <row r="525" spans="1:2" hidden="1" x14ac:dyDescent="0.2">
      <c r="A525"/>
      <c r="B525"/>
    </row>
    <row r="526" spans="1:2" hidden="1" x14ac:dyDescent="0.2">
      <c r="A526"/>
      <c r="B526"/>
    </row>
    <row r="527" spans="1:2" hidden="1" x14ac:dyDescent="0.2">
      <c r="A527"/>
      <c r="B527"/>
    </row>
    <row r="528" spans="1:2" hidden="1" x14ac:dyDescent="0.2">
      <c r="A528"/>
      <c r="B528"/>
    </row>
    <row r="529" spans="1:2" hidden="1" x14ac:dyDescent="0.2">
      <c r="A529"/>
      <c r="B529"/>
    </row>
    <row r="530" spans="1:2" hidden="1" x14ac:dyDescent="0.2">
      <c r="A530"/>
      <c r="B530"/>
    </row>
    <row r="531" spans="1:2" hidden="1" x14ac:dyDescent="0.2">
      <c r="A531"/>
      <c r="B531"/>
    </row>
    <row r="532" spans="1:2" hidden="1" x14ac:dyDescent="0.2">
      <c r="A532"/>
      <c r="B532"/>
    </row>
    <row r="533" spans="1:2" hidden="1" x14ac:dyDescent="0.2">
      <c r="A533"/>
      <c r="B533"/>
    </row>
    <row r="534" spans="1:2" hidden="1" x14ac:dyDescent="0.2">
      <c r="A534"/>
      <c r="B534"/>
    </row>
    <row r="535" spans="1:2" hidden="1" x14ac:dyDescent="0.2">
      <c r="A535"/>
      <c r="B535"/>
    </row>
    <row r="536" spans="1:2" hidden="1" x14ac:dyDescent="0.2">
      <c r="A536"/>
      <c r="B536"/>
    </row>
    <row r="537" spans="1:2" hidden="1" x14ac:dyDescent="0.2">
      <c r="A537"/>
      <c r="B537"/>
    </row>
    <row r="538" spans="1:2" hidden="1" x14ac:dyDescent="0.2">
      <c r="A538"/>
      <c r="B538"/>
    </row>
    <row r="539" spans="1:2" hidden="1" x14ac:dyDescent="0.2">
      <c r="A539"/>
      <c r="B539"/>
    </row>
    <row r="540" spans="1:2" hidden="1" x14ac:dyDescent="0.2">
      <c r="A540"/>
      <c r="B540"/>
    </row>
    <row r="541" spans="1:2" hidden="1" x14ac:dyDescent="0.2">
      <c r="A541"/>
      <c r="B541"/>
    </row>
    <row r="542" spans="1:2" hidden="1" x14ac:dyDescent="0.2">
      <c r="A542"/>
      <c r="B542"/>
    </row>
    <row r="543" spans="1:2" hidden="1" x14ac:dyDescent="0.2">
      <c r="A543"/>
      <c r="B543"/>
    </row>
    <row r="544" spans="1:2" hidden="1" x14ac:dyDescent="0.2">
      <c r="A544"/>
      <c r="B544"/>
    </row>
    <row r="545" spans="1:2" hidden="1" x14ac:dyDescent="0.2">
      <c r="A545"/>
      <c r="B545"/>
    </row>
    <row r="546" spans="1:2" hidden="1" x14ac:dyDescent="0.2">
      <c r="A546"/>
      <c r="B546"/>
    </row>
    <row r="547" spans="1:2" hidden="1" x14ac:dyDescent="0.2">
      <c r="A547"/>
      <c r="B547"/>
    </row>
    <row r="548" spans="1:2" hidden="1" x14ac:dyDescent="0.2">
      <c r="A548"/>
      <c r="B548"/>
    </row>
    <row r="549" spans="1:2" hidden="1" x14ac:dyDescent="0.2">
      <c r="A549"/>
      <c r="B549"/>
    </row>
    <row r="550" spans="1:2" hidden="1" x14ac:dyDescent="0.2">
      <c r="A550"/>
      <c r="B550"/>
    </row>
    <row r="551" spans="1:2" hidden="1" x14ac:dyDescent="0.2">
      <c r="A551"/>
      <c r="B551"/>
    </row>
    <row r="552" spans="1:2" hidden="1" x14ac:dyDescent="0.2">
      <c r="A552"/>
      <c r="B552"/>
    </row>
    <row r="553" spans="1:2" hidden="1" x14ac:dyDescent="0.2">
      <c r="A553"/>
      <c r="B553"/>
    </row>
    <row r="554" spans="1:2" hidden="1" x14ac:dyDescent="0.2">
      <c r="A554"/>
      <c r="B554"/>
    </row>
    <row r="555" spans="1:2" hidden="1" x14ac:dyDescent="0.2">
      <c r="A555"/>
      <c r="B555"/>
    </row>
    <row r="556" spans="1:2" hidden="1" x14ac:dyDescent="0.2">
      <c r="A556"/>
      <c r="B556"/>
    </row>
    <row r="557" spans="1:2" hidden="1" x14ac:dyDescent="0.2">
      <c r="A557"/>
      <c r="B557"/>
    </row>
    <row r="558" spans="1:2" hidden="1" x14ac:dyDescent="0.2">
      <c r="A558"/>
      <c r="B558"/>
    </row>
    <row r="559" spans="1:2" hidden="1" x14ac:dyDescent="0.2">
      <c r="A559"/>
      <c r="B559"/>
    </row>
    <row r="560" spans="1:2" hidden="1" x14ac:dyDescent="0.2">
      <c r="A560"/>
      <c r="B560"/>
    </row>
    <row r="561" spans="1:2" hidden="1" x14ac:dyDescent="0.2">
      <c r="A561"/>
      <c r="B561"/>
    </row>
    <row r="562" spans="1:2" hidden="1" x14ac:dyDescent="0.2">
      <c r="A562"/>
      <c r="B562"/>
    </row>
    <row r="563" spans="1:2" hidden="1" x14ac:dyDescent="0.2">
      <c r="A563"/>
      <c r="B563"/>
    </row>
    <row r="564" spans="1:2" hidden="1" x14ac:dyDescent="0.2">
      <c r="A564"/>
      <c r="B564"/>
    </row>
    <row r="565" spans="1:2" hidden="1" x14ac:dyDescent="0.2">
      <c r="A565"/>
      <c r="B565"/>
    </row>
    <row r="566" spans="1:2" hidden="1" x14ac:dyDescent="0.2">
      <c r="A566"/>
      <c r="B566"/>
    </row>
    <row r="567" spans="1:2" hidden="1" x14ac:dyDescent="0.2">
      <c r="A567"/>
      <c r="B567"/>
    </row>
    <row r="568" spans="1:2" hidden="1" x14ac:dyDescent="0.2">
      <c r="A568"/>
      <c r="B568"/>
    </row>
    <row r="569" spans="1:2" hidden="1" x14ac:dyDescent="0.2">
      <c r="A569"/>
      <c r="B569"/>
    </row>
    <row r="570" spans="1:2" hidden="1" x14ac:dyDescent="0.2">
      <c r="A570"/>
      <c r="B570"/>
    </row>
    <row r="571" spans="1:2" hidden="1" x14ac:dyDescent="0.2">
      <c r="A571"/>
      <c r="B571"/>
    </row>
    <row r="572" spans="1:2" hidden="1" x14ac:dyDescent="0.2">
      <c r="A572"/>
      <c r="B572"/>
    </row>
    <row r="573" spans="1:2" hidden="1" x14ac:dyDescent="0.2">
      <c r="A573"/>
      <c r="B573"/>
    </row>
    <row r="574" spans="1:2" hidden="1" x14ac:dyDescent="0.2">
      <c r="A574"/>
      <c r="B574"/>
    </row>
    <row r="575" spans="1:2" hidden="1" x14ac:dyDescent="0.2">
      <c r="A575"/>
      <c r="B575"/>
    </row>
    <row r="576" spans="1:2" hidden="1" x14ac:dyDescent="0.2">
      <c r="A576"/>
      <c r="B576"/>
    </row>
    <row r="577" spans="1:2" hidden="1" x14ac:dyDescent="0.2">
      <c r="A577"/>
      <c r="B577"/>
    </row>
    <row r="578" spans="1:2" hidden="1" x14ac:dyDescent="0.2">
      <c r="A578"/>
      <c r="B578"/>
    </row>
    <row r="579" spans="1:2" hidden="1" x14ac:dyDescent="0.2">
      <c r="A579"/>
      <c r="B579"/>
    </row>
    <row r="580" spans="1:2" hidden="1" x14ac:dyDescent="0.2">
      <c r="A580"/>
      <c r="B580"/>
    </row>
    <row r="581" spans="1:2" hidden="1" x14ac:dyDescent="0.2">
      <c r="A581"/>
      <c r="B581"/>
    </row>
    <row r="582" spans="1:2" hidden="1" x14ac:dyDescent="0.2">
      <c r="A582"/>
      <c r="B582"/>
    </row>
    <row r="583" spans="1:2" hidden="1" x14ac:dyDescent="0.2">
      <c r="A583"/>
      <c r="B583"/>
    </row>
    <row r="584" spans="1:2" hidden="1" x14ac:dyDescent="0.2">
      <c r="A584"/>
      <c r="B584"/>
    </row>
    <row r="585" spans="1:2" hidden="1" x14ac:dyDescent="0.2">
      <c r="A585"/>
      <c r="B585"/>
    </row>
    <row r="586" spans="1:2" hidden="1" x14ac:dyDescent="0.2">
      <c r="A586"/>
      <c r="B586"/>
    </row>
    <row r="587" spans="1:2" hidden="1" x14ac:dyDescent="0.2">
      <c r="A587"/>
      <c r="B587"/>
    </row>
    <row r="588" spans="1:2" hidden="1" x14ac:dyDescent="0.2">
      <c r="A588"/>
      <c r="B588"/>
    </row>
    <row r="589" spans="1:2" hidden="1" x14ac:dyDescent="0.2">
      <c r="A589"/>
      <c r="B589"/>
    </row>
    <row r="590" spans="1:2" hidden="1" x14ac:dyDescent="0.2">
      <c r="A590"/>
      <c r="B590"/>
    </row>
    <row r="591" spans="1:2" hidden="1" x14ac:dyDescent="0.2">
      <c r="A591"/>
      <c r="B591"/>
    </row>
    <row r="592" spans="1:2" hidden="1" x14ac:dyDescent="0.2">
      <c r="A592"/>
      <c r="B592"/>
    </row>
    <row r="593" spans="1:2" hidden="1" x14ac:dyDescent="0.2">
      <c r="A593"/>
      <c r="B593"/>
    </row>
    <row r="594" spans="1:2" hidden="1" x14ac:dyDescent="0.2">
      <c r="A594"/>
      <c r="B594"/>
    </row>
    <row r="595" spans="1:2" hidden="1" x14ac:dyDescent="0.2">
      <c r="A595"/>
      <c r="B595"/>
    </row>
    <row r="596" spans="1:2" hidden="1" x14ac:dyDescent="0.2">
      <c r="A596"/>
      <c r="B596"/>
    </row>
    <row r="597" spans="1:2" hidden="1" x14ac:dyDescent="0.2">
      <c r="A597"/>
      <c r="B597"/>
    </row>
    <row r="598" spans="1:2" hidden="1" x14ac:dyDescent="0.2">
      <c r="A598"/>
      <c r="B598"/>
    </row>
    <row r="599" spans="1:2" hidden="1" x14ac:dyDescent="0.2">
      <c r="A599"/>
      <c r="B599"/>
    </row>
    <row r="600" spans="1:2" hidden="1" x14ac:dyDescent="0.2">
      <c r="A600"/>
      <c r="B600"/>
    </row>
    <row r="601" spans="1:2" hidden="1" x14ac:dyDescent="0.2">
      <c r="A601"/>
      <c r="B601"/>
    </row>
    <row r="602" spans="1:2" hidden="1" x14ac:dyDescent="0.2">
      <c r="A602"/>
      <c r="B602"/>
    </row>
    <row r="603" spans="1:2" hidden="1" x14ac:dyDescent="0.2">
      <c r="A603"/>
      <c r="B603"/>
    </row>
    <row r="604" spans="1:2" hidden="1" x14ac:dyDescent="0.2">
      <c r="A604"/>
      <c r="B604"/>
    </row>
    <row r="605" spans="1:2" hidden="1" x14ac:dyDescent="0.2">
      <c r="A605"/>
      <c r="B605"/>
    </row>
    <row r="606" spans="1:2" hidden="1" x14ac:dyDescent="0.2">
      <c r="A606"/>
      <c r="B606"/>
    </row>
    <row r="607" spans="1:2" hidden="1" x14ac:dyDescent="0.2">
      <c r="A607"/>
      <c r="B607"/>
    </row>
    <row r="608" spans="1:2" hidden="1" x14ac:dyDescent="0.2">
      <c r="A608"/>
      <c r="B608"/>
    </row>
    <row r="609" spans="1:2" hidden="1" x14ac:dyDescent="0.2">
      <c r="A609"/>
      <c r="B609"/>
    </row>
    <row r="610" spans="1:2" hidden="1" x14ac:dyDescent="0.2">
      <c r="A610"/>
      <c r="B610"/>
    </row>
    <row r="611" spans="1:2" hidden="1" x14ac:dyDescent="0.2">
      <c r="A611"/>
      <c r="B611"/>
    </row>
    <row r="612" spans="1:2" hidden="1" x14ac:dyDescent="0.2">
      <c r="A612"/>
      <c r="B612"/>
    </row>
    <row r="613" spans="1:2" hidden="1" x14ac:dyDescent="0.2">
      <c r="A613"/>
      <c r="B613"/>
    </row>
    <row r="614" spans="1:2" hidden="1" x14ac:dyDescent="0.2">
      <c r="A614"/>
      <c r="B614"/>
    </row>
    <row r="615" spans="1:2" hidden="1" x14ac:dyDescent="0.2">
      <c r="A615"/>
      <c r="B615"/>
    </row>
    <row r="616" spans="1:2" hidden="1" x14ac:dyDescent="0.2">
      <c r="A616"/>
      <c r="B616"/>
    </row>
    <row r="617" spans="1:2" hidden="1" x14ac:dyDescent="0.2">
      <c r="A617"/>
      <c r="B617"/>
    </row>
    <row r="618" spans="1:2" hidden="1" x14ac:dyDescent="0.2">
      <c r="A618"/>
      <c r="B618"/>
    </row>
    <row r="619" spans="1:2" hidden="1" x14ac:dyDescent="0.2">
      <c r="A619"/>
      <c r="B619"/>
    </row>
    <row r="620" spans="1:2" hidden="1" x14ac:dyDescent="0.2">
      <c r="A620"/>
      <c r="B620"/>
    </row>
    <row r="621" spans="1:2" hidden="1" x14ac:dyDescent="0.2">
      <c r="A621"/>
      <c r="B621"/>
    </row>
    <row r="622" spans="1:2" hidden="1" x14ac:dyDescent="0.2">
      <c r="A622"/>
      <c r="B622"/>
    </row>
    <row r="623" spans="1:2" hidden="1" x14ac:dyDescent="0.2">
      <c r="A623"/>
      <c r="B623"/>
    </row>
    <row r="624" spans="1:2" hidden="1" x14ac:dyDescent="0.2">
      <c r="A624"/>
      <c r="B624"/>
    </row>
    <row r="625" spans="1:2" hidden="1" x14ac:dyDescent="0.2">
      <c r="A625"/>
      <c r="B625"/>
    </row>
    <row r="626" spans="1:2" hidden="1" x14ac:dyDescent="0.2">
      <c r="A626"/>
      <c r="B626"/>
    </row>
    <row r="627" spans="1:2" hidden="1" x14ac:dyDescent="0.2">
      <c r="A627"/>
      <c r="B627"/>
    </row>
    <row r="628" spans="1:2" hidden="1" x14ac:dyDescent="0.2">
      <c r="A628"/>
      <c r="B628"/>
    </row>
    <row r="629" spans="1:2" hidden="1" x14ac:dyDescent="0.2">
      <c r="A629"/>
      <c r="B629"/>
    </row>
    <row r="630" spans="1:2" hidden="1" x14ac:dyDescent="0.2">
      <c r="A630"/>
      <c r="B630"/>
    </row>
    <row r="631" spans="1:2" hidden="1" x14ac:dyDescent="0.2">
      <c r="A631"/>
      <c r="B631"/>
    </row>
    <row r="632" spans="1:2" hidden="1" x14ac:dyDescent="0.2">
      <c r="A632"/>
      <c r="B632"/>
    </row>
    <row r="633" spans="1:2" hidden="1" x14ac:dyDescent="0.2">
      <c r="A633"/>
      <c r="B633"/>
    </row>
    <row r="634" spans="1:2" hidden="1" x14ac:dyDescent="0.2">
      <c r="A634"/>
      <c r="B634"/>
    </row>
    <row r="635" spans="1:2" hidden="1" x14ac:dyDescent="0.2">
      <c r="A635"/>
      <c r="B635"/>
    </row>
    <row r="636" spans="1:2" hidden="1" x14ac:dyDescent="0.2">
      <c r="A636"/>
      <c r="B636"/>
    </row>
    <row r="637" spans="1:2" hidden="1" x14ac:dyDescent="0.2">
      <c r="A637"/>
      <c r="B637"/>
    </row>
    <row r="638" spans="1:2" hidden="1" x14ac:dyDescent="0.2">
      <c r="A638"/>
      <c r="B638"/>
    </row>
    <row r="639" spans="1:2" hidden="1" x14ac:dyDescent="0.2">
      <c r="A639"/>
      <c r="B639"/>
    </row>
    <row r="640" spans="1:2" hidden="1" x14ac:dyDescent="0.2">
      <c r="A640"/>
      <c r="B640"/>
    </row>
    <row r="641" spans="1:2" hidden="1" x14ac:dyDescent="0.2">
      <c r="A641"/>
      <c r="B641"/>
    </row>
    <row r="642" spans="1:2" hidden="1" x14ac:dyDescent="0.2">
      <c r="A642"/>
      <c r="B642"/>
    </row>
    <row r="643" spans="1:2" hidden="1" x14ac:dyDescent="0.2">
      <c r="A643"/>
      <c r="B643"/>
    </row>
    <row r="644" spans="1:2" hidden="1" x14ac:dyDescent="0.2">
      <c r="A644"/>
      <c r="B644"/>
    </row>
    <row r="645" spans="1:2" hidden="1" x14ac:dyDescent="0.2">
      <c r="A645"/>
      <c r="B645"/>
    </row>
    <row r="646" spans="1:2" hidden="1" x14ac:dyDescent="0.2">
      <c r="A646"/>
      <c r="B646"/>
    </row>
    <row r="647" spans="1:2" hidden="1" x14ac:dyDescent="0.2">
      <c r="A647"/>
      <c r="B647"/>
    </row>
    <row r="648" spans="1:2" hidden="1" x14ac:dyDescent="0.2">
      <c r="A648"/>
      <c r="B648"/>
    </row>
    <row r="649" spans="1:2" hidden="1" x14ac:dyDescent="0.2">
      <c r="A649"/>
      <c r="B649"/>
    </row>
    <row r="650" spans="1:2" hidden="1" x14ac:dyDescent="0.2">
      <c r="A650"/>
      <c r="B650"/>
    </row>
    <row r="651" spans="1:2" hidden="1" x14ac:dyDescent="0.2">
      <c r="A651"/>
      <c r="B651"/>
    </row>
    <row r="652" spans="1:2" hidden="1" x14ac:dyDescent="0.2">
      <c r="A652"/>
      <c r="B652"/>
    </row>
    <row r="653" spans="1:2" hidden="1" x14ac:dyDescent="0.2">
      <c r="A653"/>
      <c r="B653"/>
    </row>
    <row r="654" spans="1:2" hidden="1" x14ac:dyDescent="0.2">
      <c r="A654"/>
      <c r="B654"/>
    </row>
    <row r="655" spans="1:2" hidden="1" x14ac:dyDescent="0.2">
      <c r="A655"/>
      <c r="B655"/>
    </row>
    <row r="656" spans="1:2" hidden="1" x14ac:dyDescent="0.2">
      <c r="A656"/>
      <c r="B656"/>
    </row>
    <row r="657" spans="1:2" hidden="1" x14ac:dyDescent="0.2">
      <c r="A657"/>
      <c r="B657"/>
    </row>
    <row r="658" spans="1:2" hidden="1" x14ac:dyDescent="0.2">
      <c r="A658"/>
      <c r="B658"/>
    </row>
    <row r="659" spans="1:2" hidden="1" x14ac:dyDescent="0.2">
      <c r="A659"/>
      <c r="B659"/>
    </row>
    <row r="660" spans="1:2" hidden="1" x14ac:dyDescent="0.2">
      <c r="A660"/>
      <c r="B660"/>
    </row>
    <row r="661" spans="1:2" hidden="1" x14ac:dyDescent="0.2">
      <c r="A661"/>
      <c r="B661"/>
    </row>
    <row r="662" spans="1:2" hidden="1" x14ac:dyDescent="0.2">
      <c r="A662"/>
      <c r="B662"/>
    </row>
    <row r="663" spans="1:2" hidden="1" x14ac:dyDescent="0.2">
      <c r="A663"/>
      <c r="B663"/>
    </row>
    <row r="664" spans="1:2" hidden="1" x14ac:dyDescent="0.2">
      <c r="A664"/>
      <c r="B664"/>
    </row>
    <row r="665" spans="1:2" hidden="1" x14ac:dyDescent="0.2">
      <c r="A665"/>
      <c r="B665"/>
    </row>
    <row r="666" spans="1:2" hidden="1" x14ac:dyDescent="0.2">
      <c r="A666"/>
      <c r="B666"/>
    </row>
    <row r="667" spans="1:2" hidden="1" x14ac:dyDescent="0.2">
      <c r="A667"/>
      <c r="B667"/>
    </row>
    <row r="668" spans="1:2" hidden="1" x14ac:dyDescent="0.2">
      <c r="A668"/>
      <c r="B668"/>
    </row>
    <row r="669" spans="1:2" hidden="1" x14ac:dyDescent="0.2">
      <c r="A669"/>
      <c r="B669"/>
    </row>
    <row r="670" spans="1:2" hidden="1" x14ac:dyDescent="0.2">
      <c r="A670"/>
      <c r="B670"/>
    </row>
    <row r="671" spans="1:2" hidden="1" x14ac:dyDescent="0.2">
      <c r="A671"/>
      <c r="B671"/>
    </row>
    <row r="672" spans="1:2" hidden="1" x14ac:dyDescent="0.2">
      <c r="A672"/>
      <c r="B672"/>
    </row>
    <row r="673" spans="1:2" hidden="1" x14ac:dyDescent="0.2">
      <c r="A673"/>
      <c r="B673"/>
    </row>
    <row r="674" spans="1:2" hidden="1" x14ac:dyDescent="0.2">
      <c r="A674"/>
      <c r="B674"/>
    </row>
    <row r="675" spans="1:2" hidden="1" x14ac:dyDescent="0.2">
      <c r="A675"/>
      <c r="B675"/>
    </row>
    <row r="676" spans="1:2" hidden="1" x14ac:dyDescent="0.2">
      <c r="A676"/>
      <c r="B676"/>
    </row>
    <row r="677" spans="1:2" hidden="1" x14ac:dyDescent="0.2">
      <c r="A677"/>
      <c r="B677"/>
    </row>
    <row r="678" spans="1:2" hidden="1" x14ac:dyDescent="0.2">
      <c r="A678"/>
      <c r="B678"/>
    </row>
    <row r="679" spans="1:2" hidden="1" x14ac:dyDescent="0.2">
      <c r="A679"/>
      <c r="B679"/>
    </row>
    <row r="680" spans="1:2" hidden="1" x14ac:dyDescent="0.2">
      <c r="A680"/>
      <c r="B680"/>
    </row>
    <row r="681" spans="1:2" hidden="1" x14ac:dyDescent="0.2">
      <c r="A681"/>
      <c r="B681"/>
    </row>
    <row r="682" spans="1:2" hidden="1" x14ac:dyDescent="0.2">
      <c r="A682"/>
      <c r="B682"/>
    </row>
    <row r="683" spans="1:2" hidden="1" x14ac:dyDescent="0.2">
      <c r="A683"/>
      <c r="B683"/>
    </row>
    <row r="684" spans="1:2" hidden="1" x14ac:dyDescent="0.2">
      <c r="A684"/>
      <c r="B684"/>
    </row>
    <row r="685" spans="1:2" hidden="1" x14ac:dyDescent="0.2">
      <c r="A685"/>
      <c r="B685"/>
    </row>
    <row r="686" spans="1:2" hidden="1" x14ac:dyDescent="0.2">
      <c r="A686"/>
      <c r="B686"/>
    </row>
    <row r="687" spans="1:2" hidden="1" x14ac:dyDescent="0.2">
      <c r="A687"/>
      <c r="B687"/>
    </row>
    <row r="688" spans="1:2" hidden="1" x14ac:dyDescent="0.2">
      <c r="A688"/>
      <c r="B688"/>
    </row>
    <row r="689" spans="1:2" hidden="1" x14ac:dyDescent="0.2">
      <c r="A689"/>
      <c r="B689"/>
    </row>
    <row r="690" spans="1:2" hidden="1" x14ac:dyDescent="0.2">
      <c r="A690"/>
      <c r="B690"/>
    </row>
    <row r="691" spans="1:2" hidden="1" x14ac:dyDescent="0.2">
      <c r="A691"/>
      <c r="B691"/>
    </row>
    <row r="692" spans="1:2" hidden="1" x14ac:dyDescent="0.2">
      <c r="A692"/>
      <c r="B692"/>
    </row>
    <row r="693" spans="1:2" hidden="1" x14ac:dyDescent="0.2">
      <c r="A693"/>
      <c r="B693"/>
    </row>
    <row r="694" spans="1:2" hidden="1" x14ac:dyDescent="0.2">
      <c r="A694"/>
      <c r="B694"/>
    </row>
    <row r="695" spans="1:2" hidden="1" x14ac:dyDescent="0.2">
      <c r="A695"/>
      <c r="B695"/>
    </row>
  </sheetData>
  <conditionalFormatting sqref="F19:F20">
    <cfRule type="dataBar" priority="2">
      <dataBar>
        <cfvo type="num" val="0"/>
        <cfvo type="num" val="1"/>
        <color rgb="FFD0DAF0"/>
      </dataBar>
    </cfRule>
    <cfRule type="dataBar" priority="3">
      <dataBar>
        <cfvo type="num" val="0"/>
        <cfvo type="num" val="1"/>
        <color rgb="FFD0DAF0"/>
      </dataBar>
      <extLst>
        <ext xmlns:x14="http://schemas.microsoft.com/office/spreadsheetml/2009/9/main" uri="{B025F937-C7B1-47D3-B67F-A62EFF666E3E}">
          <x14:id>{9EBDC031-2B35-448B-AC57-357B19474D23}</x14:id>
        </ext>
      </extLst>
    </cfRule>
  </conditionalFormatting>
  <dataValidations count="1">
    <dataValidation allowBlank="1" showInputMessage="1" showErrorMessage="1" prompt="Changes cannot be made in this sheet. Please make changes in the appropriate &quot;Evaluation&quot; tab." sqref="A1:F1 H1:XFD8 B2:F2 A3:F8 A9:C20 N9:XFD22 D16:E20 F18:F20 A21:F1369 H23:XFD1369" xr:uid="{00000000-0002-0000-0900-000000000000}">
      <formula1>0</formula1>
      <formula2>0</formula2>
    </dataValidation>
  </dataValidations>
  <hyperlinks>
    <hyperlink ref="A8" r:id="rId1" xr:uid="{00000000-0004-0000-0900-000000000000}"/>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9EBDC031-2B35-448B-AC57-357B19474D23}">
            <x14:dataBar>
              <x14:cfvo type="num">
                <xm:f>0</xm:f>
              </x14:cfvo>
              <x14:cfvo type="num">
                <xm:f>1</xm:f>
              </x14:cfvo>
              <x14:negativeFillColor rgb="FFD0DAF0"/>
              <x14:axisColor auto="1"/>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E0B233"/>
  </sheetPr>
  <dimension ref="A1:M265"/>
  <sheetViews>
    <sheetView showGridLines="0" topLeftCell="A2" workbookViewId="0"/>
  </sheetViews>
  <sheetFormatPr baseColWidth="10" defaultColWidth="0" defaultRowHeight="16" x14ac:dyDescent="0.2"/>
  <cols>
    <col min="1" max="1" width="18.75" style="100" customWidth="1"/>
    <col min="2" max="2" width="41.375" style="100" customWidth="1"/>
    <col min="3" max="4" width="19.625" style="100" customWidth="1"/>
    <col min="5" max="5" width="25.125" style="100" customWidth="1"/>
    <col min="6" max="9" width="19.625" style="100" customWidth="1"/>
    <col min="10" max="10" width="18.625" style="100" customWidth="1"/>
    <col min="11" max="11" width="15.625" style="100" customWidth="1"/>
    <col min="12" max="12" width="8.5" style="100"/>
    <col min="13" max="13" width="8.375" style="100" hidden="1" customWidth="1"/>
    <col min="14" max="16384" width="8.5" style="100" hidden="1"/>
  </cols>
  <sheetData>
    <row r="1" spans="1:10" ht="23.25" hidden="1" customHeight="1" x14ac:dyDescent="0.2">
      <c r="A1" s="100" t="s">
        <v>471</v>
      </c>
    </row>
    <row r="2" spans="1:10" s="243" customFormat="1" ht="36" customHeight="1" x14ac:dyDescent="0.2">
      <c r="A2" s="101" t="s">
        <v>482</v>
      </c>
      <c r="B2" s="101"/>
      <c r="C2" s="101"/>
      <c r="D2" s="101"/>
      <c r="E2" s="101"/>
      <c r="F2" s="101"/>
      <c r="G2" s="101"/>
      <c r="H2" s="101"/>
      <c r="I2" s="217" t="str">
        <f>'Auto Responses'!$A$36</f>
        <v>Version 4.1.6</v>
      </c>
      <c r="J2" s="217"/>
    </row>
    <row r="3" spans="1:10" ht="21" customHeight="1" x14ac:dyDescent="0.2">
      <c r="A3" s="105"/>
      <c r="B3" s="105"/>
      <c r="C3" s="105"/>
      <c r="D3" s="105"/>
      <c r="E3" s="105"/>
      <c r="F3" s="105"/>
      <c r="G3" s="105"/>
      <c r="H3" s="105"/>
      <c r="I3" s="105"/>
      <c r="J3" s="105"/>
    </row>
    <row r="4" spans="1:10" ht="36" customHeight="1" x14ac:dyDescent="0.2">
      <c r="A4" s="106" t="s">
        <v>427</v>
      </c>
      <c r="B4" s="107"/>
      <c r="C4" s="107"/>
      <c r="D4" s="107"/>
      <c r="E4" s="107"/>
      <c r="F4" s="107"/>
      <c r="G4" s="107"/>
      <c r="H4" s="107"/>
      <c r="I4" s="107"/>
      <c r="J4" s="107"/>
    </row>
    <row r="5" spans="1:10" s="109" customFormat="1" ht="19.5" customHeight="1" x14ac:dyDescent="0.2">
      <c r="A5" s="108" t="str">
        <f>HLOOKUP($A$4,'Auto Responses'!$F$2:$F$7,2,0)&amp;""</f>
        <v>1. Upon initial review, you can check the "Non-Negotiable" box by any question to compile a report of questions that may prohibit a full review.</v>
      </c>
      <c r="B5" s="108"/>
      <c r="C5" s="108"/>
      <c r="D5" s="108"/>
      <c r="E5" s="108"/>
      <c r="F5" s="108"/>
      <c r="G5" s="108"/>
      <c r="H5" s="108"/>
      <c r="I5" s="108"/>
      <c r="J5" s="108"/>
    </row>
    <row r="6" spans="1:10" s="109" customFormat="1" ht="19.5" customHeight="1" x14ac:dyDescent="0.2">
      <c r="A6" s="108" t="str">
        <f>HLOOKUP($A$4,'Auto Responses'!$F$2:$F$7,3,0)&amp;""</f>
        <v>2. When evaluating an answer, a default importance level has been set. You can use the "Importance Override" dropdown to override the default and adjust the value of the question.</v>
      </c>
      <c r="B6" s="108"/>
      <c r="C6" s="108"/>
      <c r="D6" s="108"/>
      <c r="E6" s="108"/>
      <c r="F6" s="108"/>
      <c r="G6" s="108"/>
      <c r="H6" s="108"/>
      <c r="I6" s="108"/>
      <c r="J6" s="108"/>
    </row>
    <row r="7" spans="1:10" s="109" customFormat="1" ht="19.5" customHeight="1" x14ac:dyDescent="0.2">
      <c r="A7" s="108" t="str">
        <f>HLOOKUP($A$4,'Auto Responses'!$F$2:$F$7,4,0)&amp;""</f>
        <v>3. For questions that are qualitative or for which you disagree with the preferred response, make a selection in the "Compliant Override" dropdown to adjust the question's impact on the score.</v>
      </c>
      <c r="B7" s="108"/>
      <c r="C7" s="108"/>
      <c r="D7" s="108"/>
      <c r="E7" s="108"/>
      <c r="F7" s="108"/>
      <c r="G7" s="108"/>
      <c r="H7" s="108"/>
      <c r="I7" s="108"/>
      <c r="J7" s="108"/>
    </row>
    <row r="8" spans="1:10" s="109" customFormat="1" ht="19.5" customHeight="1" x14ac:dyDescent="0.2">
      <c r="A8" s="108" t="str">
        <f>HLOOKUP($A$4,'Auto Responses'!$F$2:$F$7,5,0)&amp;""</f>
        <v xml:space="preserve">4. Each worksheet shows a report for that section. See the "Analyst Report" sheet for a full report of all sections. </v>
      </c>
      <c r="B8" s="108"/>
      <c r="C8" s="108"/>
      <c r="D8" s="108"/>
      <c r="E8" s="108"/>
      <c r="F8" s="108"/>
      <c r="G8" s="108"/>
      <c r="H8" s="108"/>
      <c r="I8" s="108"/>
      <c r="J8" s="108"/>
    </row>
    <row r="9" spans="1:10" s="109" customFormat="1" ht="19.5" customHeight="1" x14ac:dyDescent="0.2">
      <c r="A9" s="108" t="str">
        <f>HLOOKUP($A$4,'Auto Responses'!$F$2:$F$7,6,0)&amp;""</f>
        <v xml:space="preserve">5. If you are evaluating a question that appears in an earlier section, the Importance and Compliant Override cannot be changed but additional notes can be added. </v>
      </c>
      <c r="B9" s="108"/>
      <c r="C9" s="108"/>
      <c r="D9" s="108"/>
      <c r="E9" s="108"/>
      <c r="F9" s="108"/>
      <c r="G9" s="108"/>
      <c r="H9" s="108"/>
      <c r="I9" s="108"/>
      <c r="J9" s="108"/>
    </row>
    <row r="10" spans="1:10" ht="19.5" customHeight="1" x14ac:dyDescent="0.2">
      <c r="A10" s="110" t="str">
        <f>HLOOKUP($A$4,'Auto Responses'!$F$2:$F$8,7,0)&amp;""</f>
        <v>For full instructions, please visit EDUCAUSE.edu/HECVAT</v>
      </c>
      <c r="B10" s="111"/>
      <c r="C10" s="111"/>
      <c r="D10" s="111"/>
      <c r="E10" s="111"/>
      <c r="F10" s="111"/>
      <c r="G10" s="111"/>
      <c r="H10" s="111"/>
      <c r="I10" s="111"/>
      <c r="J10" s="111"/>
    </row>
    <row r="11" spans="1:10" s="120" customFormat="1" ht="25.5" customHeight="1" x14ac:dyDescent="0.2">
      <c r="A11" s="112" t="str">
        <f>'START HERE'!$B$13</f>
        <v>Solution Provider Name</v>
      </c>
      <c r="B11" s="113"/>
      <c r="C11" s="114" t="str">
        <f>VLOOKUP($A11,'START HERE'!$B$13:$C$21,2,0)&amp;""</f>
        <v>SmartPLS GmbH</v>
      </c>
      <c r="D11" s="115"/>
      <c r="E11" s="222"/>
      <c r="F11" s="118"/>
      <c r="G11" s="118"/>
      <c r="H11" s="119"/>
      <c r="I11" s="118"/>
      <c r="J11" s="118"/>
    </row>
    <row r="12" spans="1:10" s="120" customFormat="1" ht="25.5" customHeight="1" x14ac:dyDescent="0.2">
      <c r="A12" s="121" t="str">
        <f>'START HERE'!$B$16</f>
        <v>Solution Provider Contact Name</v>
      </c>
      <c r="B12" s="122"/>
      <c r="C12" s="123" t="str">
        <f>VLOOKUP($A12,'START HERE'!$B$13:$C$21,2,0)&amp;""</f>
        <v>Sven Wende</v>
      </c>
      <c r="D12" s="124"/>
      <c r="E12" s="223"/>
      <c r="F12" s="118"/>
      <c r="G12" s="118"/>
      <c r="H12" s="119"/>
      <c r="I12" s="118"/>
      <c r="J12" s="118"/>
    </row>
    <row r="13" spans="1:10" s="120" customFormat="1" ht="25.5" customHeight="1" x14ac:dyDescent="0.2">
      <c r="A13" s="121" t="str">
        <f>'START HERE'!$B$17</f>
        <v>Solution Provider Contact Title</v>
      </c>
      <c r="B13" s="122"/>
      <c r="C13" s="123" t="str">
        <f>VLOOKUP($A13,'START HERE'!$B$13:$C$21,2,0)&amp;""</f>
        <v>Co-Founder &amp; Managing Director</v>
      </c>
      <c r="D13" s="124"/>
      <c r="E13" s="223"/>
      <c r="F13" s="118"/>
      <c r="G13" s="118"/>
      <c r="H13" s="119"/>
      <c r="I13" s="118"/>
      <c r="J13" s="118"/>
    </row>
    <row r="14" spans="1:10" s="120" customFormat="1" ht="25.5" customHeight="1" x14ac:dyDescent="0.2">
      <c r="A14" s="121" t="str">
        <f>'START HERE'!$B$18</f>
        <v>Solution Provider Contact Email</v>
      </c>
      <c r="B14" s="122"/>
      <c r="C14" s="123" t="str">
        <f>VLOOKUP($A14,'START HERE'!$B$13:$C$21,2,0)&amp;""</f>
        <v>s.wende@smartpls.gmbh</v>
      </c>
      <c r="D14" s="124"/>
      <c r="E14" s="223"/>
      <c r="F14" s="224"/>
    </row>
    <row r="15" spans="1:10" s="120" customFormat="1" ht="25.5" customHeight="1" x14ac:dyDescent="0.2">
      <c r="A15" s="121" t="str">
        <f>'START HERE'!$B$14</f>
        <v>Solution Name</v>
      </c>
      <c r="B15" s="122"/>
      <c r="C15" s="123" t="str">
        <f>VLOOKUP($A15,'START HERE'!$B$13:$C$21,2,0)&amp;""</f>
        <v>SmartPLS 4.1.1.9 (SmartPLS Desktop)</v>
      </c>
      <c r="D15" s="124"/>
      <c r="E15" s="223"/>
      <c r="F15" s="224"/>
    </row>
    <row r="16" spans="1:10" s="120" customFormat="1" ht="25.5" customHeight="1" x14ac:dyDescent="0.2">
      <c r="A16" s="121" t="str">
        <f>'START HERE'!$B$15</f>
        <v>Solution Description</v>
      </c>
      <c r="B16" s="122"/>
      <c r="C16" s="123" t="str">
        <f>VLOOKUP($A16,'START HERE'!$B$13:$C$21,2,0)&amp;""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D16" s="124"/>
      <c r="E16" s="223"/>
      <c r="F16" s="224"/>
    </row>
    <row r="17" spans="1:11" s="120" customFormat="1" ht="25.5" customHeight="1" x14ac:dyDescent="0.2">
      <c r="A17" s="127" t="s">
        <v>428</v>
      </c>
      <c r="B17" s="128"/>
      <c r="C17" s="129">
        <f>'START HERE'!$C$3</f>
        <v>0</v>
      </c>
      <c r="D17" s="130"/>
      <c r="E17" s="225"/>
      <c r="F17" s="224"/>
    </row>
    <row r="18" spans="1:11" s="120" customFormat="1" ht="24.75" customHeight="1" x14ac:dyDescent="0.2">
      <c r="A18" s="118"/>
      <c r="B18" s="118"/>
      <c r="C18" s="132"/>
      <c r="D18" s="133"/>
      <c r="E18" s="118"/>
      <c r="F18" s="118"/>
      <c r="G18" s="118"/>
      <c r="H18" s="119"/>
      <c r="I18" s="119"/>
      <c r="J18" s="119"/>
    </row>
    <row r="19" spans="1:11" s="134" customFormat="1" ht="24" customHeight="1" x14ac:dyDescent="0.2">
      <c r="A19" s="321"/>
      <c r="B19" s="321"/>
      <c r="C19" s="321"/>
      <c r="D19" s="1"/>
    </row>
    <row r="20" spans="1:11" ht="30" customHeight="1" x14ac:dyDescent="0.2">
      <c r="A20" s="135" t="s">
        <v>429</v>
      </c>
      <c r="B20" s="136" t="s">
        <v>430</v>
      </c>
      <c r="C20" s="137" t="s">
        <v>431</v>
      </c>
      <c r="D20" s="138" t="s">
        <v>432</v>
      </c>
      <c r="E20" s="139" t="s">
        <v>433</v>
      </c>
      <c r="F20" s="139" t="s">
        <v>434</v>
      </c>
      <c r="G20" s="140" t="s">
        <v>435</v>
      </c>
      <c r="H20" s="141"/>
      <c r="I20" s="142"/>
    </row>
    <row r="21" spans="1:11" s="143" customFormat="1" ht="40.5" customHeight="1" x14ac:dyDescent="0.2">
      <c r="B21" s="144" t="str">
        <f>VLOOKUP($K21,'Auto Responses'!$N$4:$O$38,2,0)&amp;""</f>
        <v xml:space="preserve"> General Privacy</v>
      </c>
      <c r="C21" s="145"/>
      <c r="D21" s="146" t="str">
        <f>IF($C21=TRUE(),SUMIF('(backend scoring)'!$B$3:$B$333,$K21,'(backend scoring)'!$O$3:$O$333),"")</f>
        <v/>
      </c>
      <c r="E21" s="147" t="str">
        <f>IF($C21=TRUE(),SUMIF('(backend scoring)'!$B$3:$B$333,$K21,'(backend scoring)'!$P$3:$P$333),"")</f>
        <v/>
      </c>
      <c r="F21" s="148" t="str">
        <f>IFERROR($E21/$D21,'Auto Responses'!$J$5)</f>
        <v>N/A</v>
      </c>
      <c r="G21" s="149" t="str">
        <f t="shared" ref="G21:G30" si="0">$G$20&amp;B21</f>
        <v>Jump to General Privacy</v>
      </c>
      <c r="H21" s="150"/>
      <c r="I21" s="151"/>
      <c r="K21" s="152" t="s">
        <v>483</v>
      </c>
    </row>
    <row r="22" spans="1:11" s="143" customFormat="1" ht="40.5" customHeight="1" x14ac:dyDescent="0.2">
      <c r="B22" s="144" t="str">
        <f>VLOOKUP($K22,'Auto Responses'!$N$4:$O$38,2,0)&amp;""</f>
        <v xml:space="preserve"> Privacy-Specific Company Details</v>
      </c>
      <c r="C22" s="145" t="b">
        <f>TRUE()</f>
        <v>1</v>
      </c>
      <c r="D22" s="146">
        <f>IF($C22=TRUE(),SUMIF('(backend scoring)'!$B$3:$B$333,$K22,'(backend scoring)'!$O$3:$O$333),"")</f>
        <v>30</v>
      </c>
      <c r="E22" s="147">
        <f>IF($C22=TRUE(),SUMIF('(backend scoring)'!$B$3:$B$333,$K22,'(backend scoring)'!$P$3:$P$333),"")</f>
        <v>25</v>
      </c>
      <c r="F22" s="154">
        <f>IFERROR($E22/$D22,'Auto Responses'!$J$5)</f>
        <v>0.83333333333333337</v>
      </c>
      <c r="G22" s="149" t="str">
        <f t="shared" si="0"/>
        <v>Jump to Privacy-Specific Company Details</v>
      </c>
      <c r="H22" s="155"/>
      <c r="I22" s="156"/>
      <c r="K22" s="152" t="s">
        <v>484</v>
      </c>
    </row>
    <row r="23" spans="1:11" s="143" customFormat="1" ht="40.5" customHeight="1" x14ac:dyDescent="0.2">
      <c r="B23" s="144" t="str">
        <f>VLOOKUP($K23,'Auto Responses'!$N$4:$O$38,2,0)&amp;""</f>
        <v xml:space="preserve"> Privacy-Specific Documentation</v>
      </c>
      <c r="C23" s="145" t="b">
        <f>TRUE()</f>
        <v>1</v>
      </c>
      <c r="D23" s="146">
        <f>IF($C23=TRUE(),SUMIF('(backend scoring)'!$B$3:$B$333,$K23,'(backend scoring)'!$O$3:$O$333),"")</f>
        <v>10</v>
      </c>
      <c r="E23" s="147">
        <f>IF($C23=TRUE(),SUMIF('(backend scoring)'!$B$3:$B$333,$K23,'(backend scoring)'!$P$3:$P$333),"")</f>
        <v>0</v>
      </c>
      <c r="F23" s="154">
        <f>IFERROR($E23/$D23,'Auto Responses'!$J$5)</f>
        <v>0</v>
      </c>
      <c r="G23" s="149" t="str">
        <f t="shared" si="0"/>
        <v>Jump to Privacy-Specific Documentation</v>
      </c>
      <c r="H23" s="155"/>
      <c r="I23" s="156"/>
      <c r="K23" s="152" t="s">
        <v>485</v>
      </c>
    </row>
    <row r="24" spans="1:11" s="143" customFormat="1" ht="40.5" customHeight="1" x14ac:dyDescent="0.2">
      <c r="B24" s="144" t="str">
        <f>VLOOKUP($K24,'Auto Responses'!$N$4:$O$38,2,0)&amp;""</f>
        <v xml:space="preserve"> Privacy of Third Parties</v>
      </c>
      <c r="C24" s="145" t="b">
        <f>TRUE()</f>
        <v>1</v>
      </c>
      <c r="D24" s="146">
        <f>IF($C24=TRUE(),SUMIF('(backend scoring)'!$B$3:$B$333,$K24,'(backend scoring)'!$O$3:$O$333),"")</f>
        <v>25</v>
      </c>
      <c r="E24" s="147">
        <f>IF($C24=TRUE(),SUMIF('(backend scoring)'!$B$3:$B$333,$K24,'(backend scoring)'!$P$3:$P$333),"")</f>
        <v>20</v>
      </c>
      <c r="F24" s="154">
        <f>IFERROR($E24/$D24,'Auto Responses'!$J$5)</f>
        <v>0.8</v>
      </c>
      <c r="G24" s="149" t="str">
        <f t="shared" si="0"/>
        <v>Jump to Privacy of Third Parties</v>
      </c>
      <c r="H24" s="155"/>
      <c r="I24" s="156"/>
      <c r="K24" s="152" t="s">
        <v>486</v>
      </c>
    </row>
    <row r="25" spans="1:11" s="143" customFormat="1" ht="40.5" customHeight="1" x14ac:dyDescent="0.2">
      <c r="B25" s="144" t="str">
        <f>VLOOKUP($K25,'Auto Responses'!$N$4:$O$38,2,0)&amp;""</f>
        <v xml:space="preserve"> Privacy Change Management</v>
      </c>
      <c r="C25" s="145" t="b">
        <f>TRUE()</f>
        <v>1</v>
      </c>
      <c r="D25" s="146">
        <f>IF($C25=TRUE(),SUMIF('(backend scoring)'!$B$3:$B$333,$K25,'(backend scoring)'!$O$3:$O$333),"")</f>
        <v>15</v>
      </c>
      <c r="E25" s="147">
        <f>IF($C25=TRUE(),SUMIF('(backend scoring)'!$B$3:$B$333,$K25,'(backend scoring)'!$P$3:$P$333),"")</f>
        <v>0</v>
      </c>
      <c r="F25" s="154">
        <f>IFERROR($E25/$D25,'Auto Responses'!$J$5)</f>
        <v>0</v>
      </c>
      <c r="G25" s="149" t="str">
        <f t="shared" si="0"/>
        <v>Jump to Privacy Change Management</v>
      </c>
      <c r="H25" s="155"/>
      <c r="I25" s="156"/>
      <c r="K25" s="152" t="s">
        <v>487</v>
      </c>
    </row>
    <row r="26" spans="1:11" s="143" customFormat="1" ht="40.5" customHeight="1" x14ac:dyDescent="0.2">
      <c r="B26" s="144" t="str">
        <f>VLOOKUP($K26,'Auto Responses'!$N$4:$O$38,2,0)&amp;""</f>
        <v xml:space="preserve"> Privacy of Sensitive Data</v>
      </c>
      <c r="C26" s="145" t="b">
        <f>TRUE()</f>
        <v>1</v>
      </c>
      <c r="D26" s="146">
        <f>IF($C26=TRUE(),SUMIF('(backend scoring)'!$B$3:$B$333,$K26,'(backend scoring)'!$O$3:$O$333),"")</f>
        <v>80</v>
      </c>
      <c r="E26" s="147">
        <f>IF($C26=TRUE(),SUMIF('(backend scoring)'!$B$3:$B$333,$K26,'(backend scoring)'!$P$3:$P$333),"")</f>
        <v>70</v>
      </c>
      <c r="F26" s="154">
        <f>IFERROR($E26/$D26,'Auto Responses'!$J$5)</f>
        <v>0.875</v>
      </c>
      <c r="G26" s="149" t="str">
        <f t="shared" si="0"/>
        <v>Jump to Privacy of Sensitive Data</v>
      </c>
      <c r="H26" s="155"/>
      <c r="I26" s="156"/>
      <c r="K26" s="152" t="s">
        <v>488</v>
      </c>
    </row>
    <row r="27" spans="1:11" s="143" customFormat="1" ht="40.5" customHeight="1" x14ac:dyDescent="0.2">
      <c r="B27" s="144" t="str">
        <f>VLOOKUP($K27,'Auto Responses'!$N$4:$O$38,2,0)&amp;""</f>
        <v xml:space="preserve"> Privacy Policies and Procedures</v>
      </c>
      <c r="C27" s="145" t="b">
        <f>TRUE()</f>
        <v>1</v>
      </c>
      <c r="D27" s="146">
        <f>IF($C27=TRUE(),SUMIF('(backend scoring)'!$B$3:$B$333,$K27,'(backend scoring)'!$O$3:$O$333),"")</f>
        <v>95</v>
      </c>
      <c r="E27" s="147">
        <f>IF($C27=TRUE(),SUMIF('(backend scoring)'!$B$3:$B$333,$K27,'(backend scoring)'!$P$3:$P$333),"")</f>
        <v>50</v>
      </c>
      <c r="F27" s="154">
        <f>IFERROR($E27/$D27,'Auto Responses'!$J$5)</f>
        <v>0.52631578947368418</v>
      </c>
      <c r="G27" s="149" t="str">
        <f t="shared" si="0"/>
        <v>Jump to Privacy Policies and Procedures</v>
      </c>
      <c r="H27" s="155"/>
      <c r="I27" s="156"/>
      <c r="K27" s="152" t="s">
        <v>489</v>
      </c>
    </row>
    <row r="28" spans="1:11" s="143" customFormat="1" ht="40.5" customHeight="1" x14ac:dyDescent="0.2">
      <c r="B28" s="144" t="str">
        <f>VLOOKUP($K28,'Auto Responses'!$N$4:$O$38,2,0)&amp;""</f>
        <v xml:space="preserve"> International Privacy</v>
      </c>
      <c r="C28" s="145" t="b">
        <f>TRUE()</f>
        <v>1</v>
      </c>
      <c r="D28" s="146">
        <f>IF($C28=TRUE(),SUMIF('(backend scoring)'!$B$3:$B$333,$K28,'(backend scoring)'!$O$3:$O$333),"")</f>
        <v>40</v>
      </c>
      <c r="E28" s="147">
        <f>IF($C28=TRUE(),SUMIF('(backend scoring)'!$B$3:$B$333,$K28,'(backend scoring)'!$P$3:$P$333),"")</f>
        <v>20</v>
      </c>
      <c r="F28" s="154">
        <f>IFERROR($E28/$D28,'Auto Responses'!$J$5)</f>
        <v>0.5</v>
      </c>
      <c r="G28" s="149" t="str">
        <f t="shared" si="0"/>
        <v>Jump to International Privacy</v>
      </c>
      <c r="H28" s="155"/>
      <c r="I28" s="156"/>
      <c r="K28" s="152" t="s">
        <v>490</v>
      </c>
    </row>
    <row r="29" spans="1:11" s="143" customFormat="1" ht="40.5" customHeight="1" x14ac:dyDescent="0.2">
      <c r="B29" s="144" t="str">
        <f>VLOOKUP($K29,'Auto Responses'!$N$4:$O$38,2,0)&amp;""</f>
        <v xml:space="preserve"> Data Privacy</v>
      </c>
      <c r="C29" s="145" t="b">
        <f>TRUE()</f>
        <v>1</v>
      </c>
      <c r="D29" s="146">
        <f>IF($C29=TRUE(),SUMIF('(backend scoring)'!$B$3:$B$333,$K29,'(backend scoring)'!$O$3:$O$333),"")</f>
        <v>150</v>
      </c>
      <c r="E29" s="147">
        <f>IF($C29=TRUE(),SUMIF('(backend scoring)'!$B$3:$B$333,$K29,'(backend scoring)'!$P$3:$P$333),"")</f>
        <v>100</v>
      </c>
      <c r="F29" s="154">
        <f>IFERROR($E29/$D29,'Auto Responses'!$J$5)</f>
        <v>0.66666666666666663</v>
      </c>
      <c r="G29" s="149" t="str">
        <f t="shared" si="0"/>
        <v>Jump to Data Privacy</v>
      </c>
      <c r="H29" s="155"/>
      <c r="I29" s="156"/>
      <c r="K29" s="152" t="s">
        <v>491</v>
      </c>
    </row>
    <row r="30" spans="1:11" s="143" customFormat="1" ht="40.5" customHeight="1" x14ac:dyDescent="0.2">
      <c r="B30" s="144" t="str">
        <f>VLOOKUP($K30,'Auto Responses'!$N$4:$O$38,2,0)&amp;""</f>
        <v xml:space="preserve"> Privacy and AI</v>
      </c>
      <c r="C30" s="145" t="b">
        <f>TRUE()</f>
        <v>1</v>
      </c>
      <c r="D30" s="146">
        <f>IF($C30=TRUE(),SUMIF('(backend scoring)'!$B$3:$B$333,$K30,'(backend scoring)'!$O$3:$O$333),"")</f>
        <v>0</v>
      </c>
      <c r="E30" s="147">
        <f>IF($C30=TRUE(),SUMIF('(backend scoring)'!$B$3:$B$333,$K30,'(backend scoring)'!$P$3:$P$333),"")</f>
        <v>0</v>
      </c>
      <c r="F30" s="154" t="str">
        <f>IFERROR($E30/$D30,'Auto Responses'!$J$5)</f>
        <v>N/A</v>
      </c>
      <c r="G30" s="149" t="str">
        <f t="shared" si="0"/>
        <v>Jump to Privacy and AI</v>
      </c>
      <c r="H30" s="155"/>
      <c r="I30" s="156"/>
      <c r="K30" s="152" t="s">
        <v>492</v>
      </c>
    </row>
    <row r="31" spans="1:11" s="143" customFormat="1" ht="30" customHeight="1" x14ac:dyDescent="0.15">
      <c r="B31" s="136" t="s">
        <v>493</v>
      </c>
      <c r="C31" s="137"/>
      <c r="D31" s="166">
        <f>SUM(D21:D30)</f>
        <v>445</v>
      </c>
      <c r="E31" s="166">
        <f>SUM(E21:E30)</f>
        <v>285</v>
      </c>
      <c r="F31" s="167">
        <f>IFERROR($E31/$D31,'Auto Responses'!$J$5)</f>
        <v>0.6404494382022472</v>
      </c>
      <c r="G31" s="168"/>
      <c r="H31" s="169"/>
      <c r="I31" s="170"/>
      <c r="J31" s="62" t="s">
        <v>35</v>
      </c>
    </row>
    <row r="32" spans="1:11" ht="15" customHeight="1" x14ac:dyDescent="0.2">
      <c r="F32" s="100" t="s">
        <v>456</v>
      </c>
    </row>
    <row r="33" spans="1:12" ht="15" customHeight="1" x14ac:dyDescent="0.2"/>
    <row r="34" spans="1:12" ht="15" customHeight="1" x14ac:dyDescent="0.2"/>
    <row r="35" spans="1:12" s="244" customFormat="1" ht="36" customHeight="1" x14ac:dyDescent="0.15">
      <c r="A35" s="171" t="s">
        <v>494</v>
      </c>
      <c r="B35" s="171"/>
      <c r="C35" s="172"/>
      <c r="D35" s="171"/>
      <c r="E35" s="171"/>
      <c r="F35" s="171"/>
      <c r="G35" s="171"/>
      <c r="H35" s="171"/>
      <c r="I35" s="171"/>
      <c r="J35" s="171"/>
      <c r="K35" s="171"/>
      <c r="L35" s="7"/>
    </row>
    <row r="36" spans="1:12" s="61" customFormat="1" ht="36" customHeight="1" x14ac:dyDescent="0.15">
      <c r="A36" s="173" t="s">
        <v>458</v>
      </c>
      <c r="B36" s="173"/>
      <c r="C36" s="174"/>
      <c r="D36" s="173"/>
      <c r="E36" s="173"/>
      <c r="F36" s="173"/>
      <c r="G36" s="173"/>
      <c r="H36" s="173"/>
      <c r="I36" s="173"/>
      <c r="J36" s="173"/>
      <c r="K36" s="173"/>
      <c r="L36" s="3"/>
    </row>
    <row r="37" spans="1:12" s="3" customFormat="1" ht="36" customHeight="1" x14ac:dyDescent="0.15">
      <c r="A37" s="18" t="s">
        <v>427</v>
      </c>
      <c r="B37" s="19"/>
      <c r="C37" s="20"/>
      <c r="D37" s="21"/>
      <c r="E37" s="21"/>
      <c r="F37" s="22"/>
      <c r="G37" s="22"/>
      <c r="H37" s="22"/>
      <c r="I37" s="22"/>
      <c r="J37" s="22"/>
      <c r="K37" s="22"/>
    </row>
    <row r="38" spans="1:12" s="3" customFormat="1" ht="19.5" customHeight="1" x14ac:dyDescent="0.15">
      <c r="A38" s="108" t="str">
        <f>HLOOKUP($A$4,'Auto Responses'!$F$2:$F$7,2,0)&amp;""</f>
        <v>1. Upon initial review, you can check the "Non-Negotiable" box by any question to compile a report of questions that may prohibit a full review.</v>
      </c>
      <c r="B38" s="108"/>
      <c r="C38" s="108"/>
      <c r="D38" s="108"/>
      <c r="E38" s="108"/>
      <c r="F38" s="108"/>
      <c r="G38" s="108"/>
      <c r="H38" s="108"/>
      <c r="I38" s="108"/>
      <c r="J38" s="108"/>
      <c r="K38" s="24"/>
    </row>
    <row r="39" spans="1:12" s="3" customFormat="1" ht="19.5" customHeight="1" x14ac:dyDescent="0.15">
      <c r="A39" s="108" t="str">
        <f>HLOOKUP($A$4,'Auto Responses'!$F$2:$F$7,3,0)&amp;""</f>
        <v>2. When evaluating an answer, a default importance level has been set. You can use the "Importance Override" dropdown to override the default and adjust the value of the question.</v>
      </c>
      <c r="B39" s="108"/>
      <c r="C39" s="108"/>
      <c r="D39" s="108"/>
      <c r="E39" s="108"/>
      <c r="F39" s="108"/>
      <c r="G39" s="108"/>
      <c r="H39" s="108"/>
      <c r="I39" s="108"/>
      <c r="J39" s="108"/>
      <c r="K39" s="24"/>
    </row>
    <row r="40" spans="1:12" s="3" customFormat="1" ht="19.5" customHeight="1" x14ac:dyDescent="0.15">
      <c r="A40" s="108" t="str">
        <f>HLOOKUP($A$4,'Auto Responses'!$F$2:$F$7,4,0)&amp;""</f>
        <v>3. For questions that are qualitative or for which you disagree with the preferred response, make a selection in the "Compliant Override" dropdown to adjust the question's impact on the score.</v>
      </c>
      <c r="B40" s="108"/>
      <c r="C40" s="108"/>
      <c r="D40" s="108"/>
      <c r="E40" s="108"/>
      <c r="F40" s="108"/>
      <c r="G40" s="108"/>
      <c r="H40" s="108"/>
      <c r="I40" s="108"/>
      <c r="J40" s="108"/>
      <c r="K40" s="24"/>
    </row>
    <row r="41" spans="1:12" s="3" customFormat="1" ht="19.5" customHeight="1" x14ac:dyDescent="0.15">
      <c r="A41" s="108" t="str">
        <f>HLOOKUP($A$4,'Auto Responses'!$F$2:$F$7,5,0)&amp;""</f>
        <v xml:space="preserve">4. Each worksheet shows a report for that section. See the "Analyst Report" sheet for a full report of all sections. </v>
      </c>
      <c r="B41" s="108"/>
      <c r="C41" s="108"/>
      <c r="D41" s="108"/>
      <c r="E41" s="108"/>
      <c r="F41" s="108"/>
      <c r="G41" s="108"/>
      <c r="H41" s="108"/>
      <c r="I41" s="108"/>
      <c r="J41" s="108"/>
      <c r="K41" s="24"/>
    </row>
    <row r="42" spans="1:12" s="3" customFormat="1" ht="19.5" customHeight="1" x14ac:dyDescent="0.15">
      <c r="A42" s="108" t="str">
        <f>HLOOKUP($A$4,'Auto Responses'!$F$2:$F$7,6,0)&amp;""</f>
        <v xml:space="preserve">5. If you are evaluating a question that appears in an earlier section, the Importance and Compliant Override cannot be changed but additional notes can be added. </v>
      </c>
      <c r="B42" s="108"/>
      <c r="C42" s="108"/>
      <c r="D42" s="108"/>
      <c r="E42" s="108"/>
      <c r="F42" s="108"/>
      <c r="G42" s="108"/>
      <c r="H42" s="108"/>
      <c r="I42" s="108"/>
      <c r="J42" s="108"/>
      <c r="K42" s="24"/>
    </row>
    <row r="43" spans="1:12" s="3" customFormat="1" ht="19.5" customHeight="1" x14ac:dyDescent="0.15">
      <c r="A43" s="108" t="str">
        <f>HLOOKUP($A$4,'Auto Responses'!$F$2:$F$8,7,0)&amp;""</f>
        <v>For full instructions, please visit EDUCAUSE.edu/HECVAT</v>
      </c>
      <c r="B43" s="111"/>
      <c r="C43" s="111"/>
      <c r="D43" s="111"/>
      <c r="E43" s="111"/>
      <c r="F43" s="111"/>
      <c r="G43" s="111"/>
      <c r="H43" s="111"/>
      <c r="I43" s="111"/>
      <c r="J43" s="111"/>
      <c r="K43" s="24"/>
    </row>
    <row r="44" spans="1:12" s="61" customFormat="1" ht="41.25" customHeight="1" x14ac:dyDescent="0.15">
      <c r="A44" s="175"/>
      <c r="B44" s="175"/>
      <c r="C44" s="176"/>
      <c r="D44" s="175"/>
      <c r="E44" s="175"/>
      <c r="F44" s="53" t="s">
        <v>24</v>
      </c>
      <c r="G44" s="178" t="s">
        <v>459</v>
      </c>
      <c r="H44" s="179"/>
      <c r="I44" s="179"/>
      <c r="J44" s="179"/>
      <c r="K44" s="245"/>
      <c r="L44" s="3"/>
    </row>
    <row r="45" spans="1:12" s="189" customFormat="1" ht="48" customHeight="1" x14ac:dyDescent="0.15">
      <c r="A45" s="180" t="s">
        <v>460</v>
      </c>
      <c r="B45" s="181" t="s">
        <v>461</v>
      </c>
      <c r="C45" s="181" t="s">
        <v>495</v>
      </c>
      <c r="D45" s="182" t="s">
        <v>22</v>
      </c>
      <c r="E45" s="183" t="s">
        <v>23</v>
      </c>
      <c r="F45" s="184" t="s">
        <v>462</v>
      </c>
      <c r="G45" s="185" t="s">
        <v>463</v>
      </c>
      <c r="H45" s="186" t="s">
        <v>464</v>
      </c>
      <c r="I45" s="186" t="s">
        <v>465</v>
      </c>
      <c r="J45" s="187" t="s">
        <v>466</v>
      </c>
      <c r="K45" s="188" t="s">
        <v>467</v>
      </c>
      <c r="L45" s="3"/>
    </row>
    <row r="46" spans="1:12" s="3" customFormat="1" ht="17.25" customHeight="1" x14ac:dyDescent="0.15">
      <c r="A46" s="32" t="str">
        <f>VLOOKUP(LEFT($A47,4),'Auto Responses'!$N$4:$O$38,2,0)&amp;""</f>
        <v xml:space="preserve"> General Privacy</v>
      </c>
      <c r="B46" s="41"/>
      <c r="C46" s="42"/>
      <c r="D46" s="42"/>
      <c r="E46" s="42"/>
      <c r="F46" s="246" t="s">
        <v>468</v>
      </c>
      <c r="G46" s="200" t="s">
        <v>463</v>
      </c>
      <c r="H46" s="200" t="s">
        <v>464</v>
      </c>
      <c r="I46" s="200" t="s">
        <v>465</v>
      </c>
      <c r="J46" s="200" t="s">
        <v>466</v>
      </c>
      <c r="K46" s="42"/>
    </row>
    <row r="47" spans="1:12" s="189" customFormat="1" ht="75" customHeight="1" x14ac:dyDescent="0.15">
      <c r="A47" s="36" t="s">
        <v>334</v>
      </c>
      <c r="B47" s="44" t="str">
        <f>VLOOKUP($A47,Questions!$A$2:$X$333,2,0)</f>
        <v>Does your solution process FERPA-related data?</v>
      </c>
      <c r="C47" s="198" t="str">
        <f>VLOOKUP($A47,Privacy!$A$13:$E$97,3,0)&amp;""</f>
        <v>No</v>
      </c>
      <c r="D47" s="70" t="str">
        <f>IF(LEFT(VLOOKUP($A47,Privacy!$A$13:$E$97,5,0),21)='Auto Responses'!$A$32,'Auto Responses'!$A$33,VLOOKUP($A47,Privacy!$A$13:$E$97,4,0))&amp;""</f>
        <v>SmartPLS does not process FERPA-covered US education records; any research/institutional data a customer analyzes stays entirely on their own device.</v>
      </c>
      <c r="E47" s="201" t="str">
        <f>VLOOKUP($A47,Privacy!$A$13:$E$97,5,0)&amp;""</f>
        <v>FERPA-related data includes any data maintained by (or on behalf of) the institution that is directly related to an identifiable student.</v>
      </c>
      <c r="F47" s="207"/>
      <c r="G47" s="196" t="str">
        <f>VLOOKUP($A47,Questions!$A$2:$X$333,21,0)&amp;""</f>
        <v>Not scored</v>
      </c>
      <c r="H47" s="197"/>
      <c r="I47" s="198" t="str">
        <f>VLOOKUP($A47,Questions!$A$2:$X$333,23,0)&amp;""</f>
        <v/>
      </c>
      <c r="J47" s="197"/>
      <c r="K47" s="199" t="b">
        <f>FALSE()</f>
        <v>0</v>
      </c>
      <c r="L47" s="3"/>
    </row>
    <row r="48" spans="1:12" s="189" customFormat="1" ht="165" customHeight="1" x14ac:dyDescent="0.15">
      <c r="A48" s="36" t="s">
        <v>336</v>
      </c>
      <c r="B48" s="44" t="str">
        <f>VLOOKUP($A48,Questions!$A$2:$X$333,2,0)</f>
        <v>Does your solution process GDPR-related or PIPL-related data?</v>
      </c>
      <c r="C48" s="198" t="str">
        <f>VLOOKUP($A48,Privacy!$A$13:$E$97,3,0)&amp;""</f>
        <v>Yes</v>
      </c>
      <c r="D48" s="70" t="str">
        <f>IF(LEFT(VLOOKUP($A48,Privacy!$A$13:$E$97,5,0),21)='Auto Responses'!$A$32,'Auto Responses'!$A$33,VLOOKUP($A48,Privacy!$A$13:$E$97,4,0))&amp;""</f>
        <v>As an EU-based company, SmartPLS GmbH is subject to and processes data under the GDPR (e.g., license-holder contact information).</v>
      </c>
      <c r="E48" s="201" t="str">
        <f>VLOOKUP($A48,Privacy!$A$13:$E$97,5,0)&amp;""</f>
        <v>Provide documentation of any processes or policies that address compliance with GDPR and/or PIPL as appropriate.</v>
      </c>
      <c r="F48" s="207"/>
      <c r="G48" s="196" t="str">
        <f>VLOOKUP($A48,Questions!$A$2:$X$333,21,0)&amp;""</f>
        <v>Not scored</v>
      </c>
      <c r="H48" s="197"/>
      <c r="I48" s="198" t="str">
        <f>VLOOKUP($A48,Questions!$A$2:$X$333,23,0)&amp;""</f>
        <v/>
      </c>
      <c r="J48" s="197"/>
      <c r="K48" s="199" t="b">
        <f>FALSE()</f>
        <v>0</v>
      </c>
      <c r="L48" s="3"/>
    </row>
    <row r="49" spans="1:12" s="189" customFormat="1" ht="27" customHeight="1" x14ac:dyDescent="0.15">
      <c r="A49" s="36" t="s">
        <v>338</v>
      </c>
      <c r="B49" s="44" t="str">
        <f>VLOOKUP($A49,Questions!$A$2:$X$333,2,0)</f>
        <v>Does your solution process personal data regulated by state law(s) (e.g., CCPA)?</v>
      </c>
      <c r="C49" s="198" t="str">
        <f>VLOOKUP($A49,Privacy!$A$13:$E$97,3,0)&amp;""</f>
        <v>No</v>
      </c>
      <c r="D49" s="70" t="str">
        <f>IF(LEFT(VLOOKUP($A49,Privacy!$A$13:$E$97,5,0),21)='Auto Responses'!$A$32,'Auto Responses'!$A$33,VLOOKUP($A49,Privacy!$A$13:$E$97,4,0))&amp;""</f>
        <v/>
      </c>
      <c r="E49" s="201" t="str">
        <f>VLOOKUP($A49,Privacy!$A$13:$E$97,5,0)&amp;""</f>
        <v/>
      </c>
      <c r="F49" s="207"/>
      <c r="G49" s="196" t="str">
        <f>VLOOKUP($A49,Questions!$A$2:$X$333,21,0)&amp;""</f>
        <v>Not scored</v>
      </c>
      <c r="H49" s="197"/>
      <c r="I49" s="198" t="str">
        <f>VLOOKUP($A49,Questions!$A$2:$X$333,23,0)&amp;""</f>
        <v/>
      </c>
      <c r="J49" s="197"/>
      <c r="K49" s="199" t="b">
        <f>FALSE()</f>
        <v>0</v>
      </c>
      <c r="L49" s="3"/>
    </row>
    <row r="50" spans="1:12" s="189" customFormat="1" ht="27" customHeight="1" x14ac:dyDescent="0.15">
      <c r="A50" s="36" t="s">
        <v>339</v>
      </c>
      <c r="B50" s="44" t="str">
        <f>VLOOKUP($A50,Questions!$A$2:$X$333,2,0)</f>
        <v>Does your solution process user-provided data that may contain regulated information?</v>
      </c>
      <c r="C50" s="198" t="str">
        <f>VLOOKUP($A50,Privacy!$A$13:$E$97,3,0)&amp;""</f>
        <v>No</v>
      </c>
      <c r="D50" s="70" t="str">
        <f>IF(LEFT(VLOOKUP($A50,Privacy!$A$13:$E$97,5,0),21)='Auto Responses'!$A$32,'Auto Responses'!$A$33,VLOOKUP($A50,Privacy!$A$13:$E$97,4,0))&amp;""</f>
        <v>SmartPLS only collects basic license-administration contact details (name, email, institution); it does not otherwise receive user-provided data containing regulated categories of information.</v>
      </c>
      <c r="E50" s="201" t="str">
        <f>VLOOKUP($A50,Privacy!$A$13:$E$97,5,0)&amp;""</f>
        <v/>
      </c>
      <c r="F50" s="207"/>
      <c r="G50" s="196" t="str">
        <f>VLOOKUP($A50,Questions!$A$2:$X$333,21,0)&amp;""</f>
        <v>Not scored</v>
      </c>
      <c r="H50" s="197"/>
      <c r="I50" s="198" t="str">
        <f>VLOOKUP($A50,Questions!$A$2:$X$333,23,0)&amp;""</f>
        <v/>
      </c>
      <c r="J50" s="197"/>
      <c r="K50" s="199" t="b">
        <f>FALSE()</f>
        <v>0</v>
      </c>
      <c r="L50" s="3"/>
    </row>
    <row r="51" spans="1:12" s="189" customFormat="1" ht="90" customHeight="1" x14ac:dyDescent="0.15">
      <c r="A51" s="36" t="s">
        <v>341</v>
      </c>
      <c r="B51" s="44" t="str">
        <f>VLOOKUP($A51,Questions!$A$2:$X$333,2,0)</f>
        <v>Web Link to Product/Service Privacy Notice</v>
      </c>
      <c r="C51" s="202" t="str">
        <f>VLOOKUP($A51,Privacy!$A$13:$E$97,3,0)&amp;""</f>
        <v>https://smartpls.com/privacy</v>
      </c>
      <c r="D51" s="70" t="str">
        <f>IF(LEFT(VLOOKUP($A51,Privacy!$A$13:$E$97,5,0),21)='Auto Responses'!$A$32,'Auto Responses'!$A$33,VLOOKUP($A51,Privacy!$A$13:$E$97,4,0))&amp;""</f>
        <v/>
      </c>
      <c r="E51" s="201" t="str">
        <f>VLOOKUP($A51,Privacy!$A$13:$E$97,5,0)&amp;""</f>
        <v>If multiple notices are implicated, provide all that apply. If any other documents are incorporated by reference, provide them as well.</v>
      </c>
      <c r="F51" s="207"/>
      <c r="G51" s="196" t="str">
        <f>VLOOKUP($A51,Questions!$A$2:$X$333,21,0)&amp;""</f>
        <v>Not scored</v>
      </c>
      <c r="H51" s="197"/>
      <c r="I51" s="198" t="str">
        <f>VLOOKUP($A51,Questions!$A$2:$X$333,23,0)&amp;""</f>
        <v/>
      </c>
      <c r="J51" s="197"/>
      <c r="K51" s="199" t="b">
        <f>FALSE()</f>
        <v>0</v>
      </c>
      <c r="L51" s="3"/>
    </row>
    <row r="52" spans="1:12" s="3" customFormat="1" ht="17.25" customHeight="1" x14ac:dyDescent="0.15">
      <c r="A52" s="32" t="str">
        <f>VLOOKUP(LEFT($A53,4),'Auto Responses'!$N$4:$O$38,2,0)&amp;""</f>
        <v xml:space="preserve"> Privacy-Specific Company Details</v>
      </c>
      <c r="B52" s="41"/>
      <c r="C52" s="42"/>
      <c r="D52" s="42"/>
      <c r="E52" s="203"/>
      <c r="F52" s="246" t="s">
        <v>468</v>
      </c>
      <c r="G52" s="200" t="s">
        <v>463</v>
      </c>
      <c r="H52" s="200" t="s">
        <v>464</v>
      </c>
      <c r="I52" s="200" t="s">
        <v>465</v>
      </c>
      <c r="J52" s="200" t="s">
        <v>466</v>
      </c>
      <c r="K52" s="42"/>
    </row>
    <row r="53" spans="1:12" s="189" customFormat="1" ht="67.5" customHeight="1" x14ac:dyDescent="0.15">
      <c r="A53" s="36" t="s">
        <v>343</v>
      </c>
      <c r="B53" s="44" t="str">
        <f>VLOOKUP($A53,Questions!$A$2:$X$333,2,0)</f>
        <v>Have you had a personal data breach in the past three years that involved reporting to a governmental agency, notice to individuals (including voluntary notice), or notice to another organization or institution?*</v>
      </c>
      <c r="C53" s="198" t="str">
        <f>VLOOKUP($A53,Privacy!$A$13:$E$97,3,0)&amp;""</f>
        <v>No</v>
      </c>
      <c r="D53" s="70" t="str">
        <f>IF(LEFT(VLOOKUP($A53,Privacy!$A$13:$E$97,5,0),21)='Auto Responses'!$A$32,'Auto Responses'!$A$33,VLOOKUP($A53,Privacy!$A$13:$E$97,4,0))&amp;""</f>
        <v/>
      </c>
      <c r="E53" s="204" t="str">
        <f>VLOOKUP($A53,Privacy!$A$13:$E$97,5,0)&amp;""</f>
        <v/>
      </c>
      <c r="F53" s="207"/>
      <c r="G53" s="196" t="str">
        <f>VLOOKUP($A53,Questions!$A$2:$X$333,21,0)&amp;""</f>
        <v>No</v>
      </c>
      <c r="H53" s="197"/>
      <c r="I53" s="198" t="str">
        <f>VLOOKUP($A53,Questions!$A$2:$X$333,23,0)&amp;""</f>
        <v>Critical Importance</v>
      </c>
      <c r="J53" s="197"/>
      <c r="K53" s="199" t="b">
        <f>FALSE()</f>
        <v>0</v>
      </c>
      <c r="L53" s="3"/>
    </row>
    <row r="54" spans="1:12" s="189" customFormat="1" ht="45" customHeight="1" x14ac:dyDescent="0.15">
      <c r="A54" s="36" t="s">
        <v>344</v>
      </c>
      <c r="B54" s="44" t="str">
        <f>VLOOKUP($A54,Questions!$A$2:$X$333,2,0)</f>
        <v>Use this area to share information about your privacy practices that will assist those who are assessing your company data privacy program.*</v>
      </c>
      <c r="C54" s="202" t="str">
        <f>VLOOKUP($A54,Privacy!$A$13:$E$97,3,0)&amp;""</f>
        <v>SmartPLS GmbH collects the minimum personal data necessary to administer software licenses (name, email address, institution) and, optionally, anonymized usage/crash telemetry. No institutional research data is ever transmitted to or processed by SmartPLS, since SmartPLS Desktop runs entirely on the customer’s own device. All license and telemetry data is held on EU-based servers, and payment data is handled exclusively by our PCI DSS-compliant payment provider, Adyen.</v>
      </c>
      <c r="D54" s="70" t="str">
        <f>IF(LEFT(VLOOKUP($A54,Privacy!$A$13:$E$97,5,0),21)='Auto Responses'!$A$32,'Auto Responses'!$A$33,VLOOKUP($A54,Privacy!$A$13:$E$97,4,0))&amp;""</f>
        <v/>
      </c>
      <c r="E54" s="204" t="str">
        <f>VLOOKUP($A54,Privacy!$A$13:$E$97,5,0)&amp;""</f>
        <v>Share any additional details that would help data privacy analysts assess your solution.</v>
      </c>
      <c r="F54" s="207"/>
      <c r="G54" s="196" t="str">
        <f>VLOOKUP($A54,Questions!$A$2:$X$333,21,0)&amp;""</f>
        <v>Not scored</v>
      </c>
      <c r="H54" s="197"/>
      <c r="I54" s="198" t="str">
        <f>VLOOKUP($A54,Questions!$A$2:$X$333,23,0)&amp;""</f>
        <v/>
      </c>
      <c r="J54" s="197"/>
      <c r="K54" s="199" t="b">
        <f>FALSE()</f>
        <v>0</v>
      </c>
      <c r="L54" s="3"/>
    </row>
    <row r="55" spans="1:12" s="189" customFormat="1" ht="40.5" customHeight="1" x14ac:dyDescent="0.15">
      <c r="A55" s="36" t="s">
        <v>346</v>
      </c>
      <c r="B55" s="44" t="str">
        <f>VLOOKUP($A55,Questions!$A$2:$X$333,2,0)</f>
        <v>Have you had any violations of your internal privacy policies or violations of applicable privacy law in the past 36 months?</v>
      </c>
      <c r="C55" s="198" t="str">
        <f>VLOOKUP($A55,Privacy!$A$13:$E$97,3,0)&amp;""</f>
        <v>No</v>
      </c>
      <c r="D55" s="70" t="str">
        <f>IF(LEFT(VLOOKUP($A55,Privacy!$A$13:$E$97,5,0),21)='Auto Responses'!$A$32,'Auto Responses'!$A$33,VLOOKUP($A55,Privacy!$A$13:$E$97,4,0))&amp;""</f>
        <v>No violations of internal privacy policies or applicable privacy law in the past 36 months.</v>
      </c>
      <c r="E55" s="204" t="str">
        <f>VLOOKUP($A55,Privacy!$A$13:$E$97,5,0)&amp;""</f>
        <v/>
      </c>
      <c r="F55" s="207"/>
      <c r="G55" s="196" t="str">
        <f>VLOOKUP($A55,Questions!$A$2:$X$333,21,0)&amp;""</f>
        <v>No</v>
      </c>
      <c r="H55" s="197"/>
      <c r="I55" s="198" t="str">
        <f>VLOOKUP($A55,Questions!$A$2:$X$333,23,0)&amp;""</f>
        <v>Minor Importance</v>
      </c>
      <c r="J55" s="197"/>
      <c r="K55" s="199" t="b">
        <f>FALSE()</f>
        <v>0</v>
      </c>
      <c r="L55" s="3"/>
    </row>
    <row r="56" spans="1:12" s="189" customFormat="1" ht="60" customHeight="1" x14ac:dyDescent="0.15">
      <c r="A56" s="36" t="s">
        <v>348</v>
      </c>
      <c r="B56" s="44" t="str">
        <f>VLOOKUP($A56,Questions!$A$2:$X$333,2,0)</f>
        <v>Do you have a dedicated data privacy staff or office?</v>
      </c>
      <c r="C56" s="198" t="str">
        <f>VLOOKUP($A56,Privacy!$A$13:$E$97,3,0)&amp;""</f>
        <v>No</v>
      </c>
      <c r="D56" s="70" t="str">
        <f>IF(LEFT(VLOOKUP($A56,Privacy!$A$13:$E$97,5,0),21)='Auto Responses'!$A$32,'Auto Responses'!$A$33,VLOOKUP($A56,Privacy!$A$13:$E$97,4,0))&amp;""</f>
        <v/>
      </c>
      <c r="E56" s="204" t="str">
        <f>VLOOKUP($A56,Privacy!$A$13:$E$97,5,0)&amp;""</f>
        <v>Describe who is responsible for data privacy, including department, size, talents, resources, etc.</v>
      </c>
      <c r="F56" s="207"/>
      <c r="G56" s="196" t="str">
        <f>VLOOKUP($A56,Questions!$A$2:$X$333,21,0)&amp;""</f>
        <v>Yes</v>
      </c>
      <c r="H56" s="197"/>
      <c r="I56" s="198" t="str">
        <f>VLOOKUP($A56,Questions!$A$2:$X$333,23,0)&amp;""</f>
        <v>Minor Importance</v>
      </c>
      <c r="J56" s="197"/>
      <c r="K56" s="199" t="b">
        <f>FALSE()</f>
        <v>0</v>
      </c>
      <c r="L56" s="3"/>
    </row>
    <row r="57" spans="1:12" s="3" customFormat="1" ht="17.25" customHeight="1" x14ac:dyDescent="0.15">
      <c r="A57" s="32" t="str">
        <f>VLOOKUP(LEFT($A58,4),'Auto Responses'!$N$4:$O$38,2,0)&amp;""</f>
        <v xml:space="preserve"> Privacy-Specific Documentation</v>
      </c>
      <c r="B57" s="41"/>
      <c r="C57" s="42"/>
      <c r="D57" s="42"/>
      <c r="E57" s="203"/>
      <c r="F57" s="246" t="s">
        <v>468</v>
      </c>
      <c r="G57" s="200" t="s">
        <v>463</v>
      </c>
      <c r="H57" s="200" t="s">
        <v>464</v>
      </c>
      <c r="I57" s="200" t="s">
        <v>465</v>
      </c>
      <c r="J57" s="200" t="s">
        <v>466</v>
      </c>
      <c r="K57" s="42"/>
    </row>
    <row r="58" spans="1:12" s="189" customFormat="1" ht="120" customHeight="1" x14ac:dyDescent="0.15">
      <c r="A58" s="36" t="s">
        <v>349</v>
      </c>
      <c r="B58" s="44" t="str">
        <f>VLOOKUP($A58,Questions!$A$2:$X$333,2,0)</f>
        <v>If you have completed a SOC 2 audit, does it include the Privacy Trust Service Principle?</v>
      </c>
      <c r="C58" s="198" t="str">
        <f>VLOOKUP($A58,Privacy!$A$13:$E$97,3,0)&amp;""</f>
        <v>N/A</v>
      </c>
      <c r="D58" s="70" t="str">
        <f>IF(LEFT(VLOOKUP($A58,Privacy!$A$13:$E$97,5,0),21)='Auto Responses'!$A$32,'Auto Responses'!$A$33,VLOOKUP($A58,Privacy!$A$13:$E$97,4,0))&amp;""</f>
        <v>SmartPLS GmbH has not completed a SOC 2 audit (see DOCU-03).</v>
      </c>
      <c r="E58" s="204" t="str">
        <f>VLOOKUP($A58,Privacy!$A$13:$E$97,5,0)&amp;""</f>
        <v>Please explain why this does not apply to your organization, product or service.</v>
      </c>
      <c r="F58" s="207"/>
      <c r="G58" s="196" t="str">
        <f>VLOOKUP($A58,Questions!$A$2:$X$333,21,0)&amp;""</f>
        <v>Not scored</v>
      </c>
      <c r="H58" s="197"/>
      <c r="I58" s="198" t="str">
        <f>VLOOKUP($A58,Questions!$A$2:$X$333,23,0)&amp;""</f>
        <v/>
      </c>
      <c r="J58" s="197"/>
      <c r="K58" s="199" t="b">
        <f>FALSE()</f>
        <v>0</v>
      </c>
      <c r="L58" s="3"/>
    </row>
    <row r="59" spans="1:12" s="189" customFormat="1" ht="150" customHeight="1" x14ac:dyDescent="0.15">
      <c r="A59" s="36" t="s">
        <v>351</v>
      </c>
      <c r="B59" s="44" t="str">
        <f>VLOOKUP($A59,Questions!$A$2:$X$333,2,0)</f>
        <v>Do you conform with a specific industry-standard privacy framework (e.g., NIST Privacy Framework, GDPR, ISO 27701)?</v>
      </c>
      <c r="C59" s="198" t="str">
        <f>VLOOKUP($A59,Privacy!$A$13:$E$97,3,0)&amp;""</f>
        <v>Yes</v>
      </c>
      <c r="D59" s="70" t="str">
        <f>IF(LEFT(VLOOKUP($A59,Privacy!$A$13:$E$97,5,0),21)='Auto Responses'!$A$32,'Auto Responses'!$A$33,VLOOKUP($A59,Privacy!$A$13:$E$97,4,0))&amp;""</f>
        <v>SmartPLS GmbH operates in conformance with the EU General Data Protection Regulation (GDPR) as its governing privacy framework.</v>
      </c>
      <c r="E59" s="204" t="str">
        <f>VLOOKUP($A59,Privacy!$A$13:$E$97,5,0)&amp;""</f>
        <v>Indicate which framework(s) are followed; provide documentation on how your organization conforms to your chosen framework(s) and indicate current certification levels, where appropriate.</v>
      </c>
      <c r="F59" s="207"/>
      <c r="G59" s="196" t="str">
        <f>VLOOKUP($A59,Questions!$A$2:$X$333,21,0)&amp;""</f>
        <v>Not scored</v>
      </c>
      <c r="H59" s="197"/>
      <c r="I59" s="198" t="str">
        <f>VLOOKUP($A59,Questions!$A$2:$X$333,23,0)&amp;""</f>
        <v/>
      </c>
      <c r="J59" s="197"/>
      <c r="K59" s="199" t="b">
        <f>FALSE()</f>
        <v>0</v>
      </c>
      <c r="L59" s="3"/>
    </row>
    <row r="60" spans="1:12" s="189" customFormat="1" ht="40.5" customHeight="1" x14ac:dyDescent="0.15">
      <c r="A60" s="36" t="s">
        <v>353</v>
      </c>
      <c r="B60" s="44" t="str">
        <f>VLOOKUP($A60,Questions!$A$2:$X$333,2,0)</f>
        <v>Does your employee onboarding and offboarding policy include training of employees on information security and data privacy?</v>
      </c>
      <c r="C60" s="198" t="str">
        <f>VLOOKUP($A60,Privacy!$A$13:$E$97,3,0)&amp;""</f>
        <v>No</v>
      </c>
      <c r="D60" s="70" t="str">
        <f>IF(LEFT(VLOOKUP($A60,Privacy!$A$13:$E$97,5,0),21)='Auto Responses'!$A$32,'Auto Responses'!$A$33,VLOOKUP($A60,Privacy!$A$13:$E$97,4,0))&amp;""</f>
        <v/>
      </c>
      <c r="E60" s="204" t="str">
        <f>VLOOKUP($A60,Privacy!$A$13:$E$97,5,0)&amp;""</f>
        <v>Please provide any plans to develop and implement appropriate employee training as part of onboarding and offboarding.
If no plans currently exist, please provide information on any compensating measures your organization takes to address this issue.</v>
      </c>
      <c r="F60" s="207"/>
      <c r="G60" s="196" t="str">
        <f>VLOOKUP($A60,Questions!$A$2:$X$333,21,0)&amp;""</f>
        <v>Yes</v>
      </c>
      <c r="H60" s="197"/>
      <c r="I60" s="198" t="str">
        <f>VLOOKUP($A60,Questions!$A$2:$X$333,23,0)&amp;""</f>
        <v>Standard Importance</v>
      </c>
      <c r="J60" s="197"/>
      <c r="K60" s="199" t="b">
        <f>FALSE()</f>
        <v>0</v>
      </c>
      <c r="L60" s="3"/>
    </row>
    <row r="61" spans="1:12" s="3" customFormat="1" ht="17.25" customHeight="1" x14ac:dyDescent="0.15">
      <c r="A61" s="32" t="str">
        <f>VLOOKUP(LEFT($A62,4),'Auto Responses'!$N$4:$O$38,2,0)&amp;""</f>
        <v xml:space="preserve"> Privacy of Third Parties</v>
      </c>
      <c r="B61" s="41"/>
      <c r="C61" s="42"/>
      <c r="D61" s="42"/>
      <c r="E61" s="203"/>
      <c r="F61" s="246" t="s">
        <v>468</v>
      </c>
      <c r="G61" s="200" t="s">
        <v>463</v>
      </c>
      <c r="H61" s="200" t="s">
        <v>464</v>
      </c>
      <c r="I61" s="200" t="s">
        <v>465</v>
      </c>
      <c r="J61" s="200" t="s">
        <v>466</v>
      </c>
      <c r="K61" s="42"/>
    </row>
    <row r="62" spans="1:12" s="189" customFormat="1" ht="150" customHeight="1" x14ac:dyDescent="0.15">
      <c r="A62" s="36" t="s">
        <v>354</v>
      </c>
      <c r="B62" s="44" t="str">
        <f>VLOOKUP($A62,Questions!$A$2:$X$333,2,0)</f>
        <v>Do you have contractual agreements with third parties that require them to maintain standards and to comply with all regulatory requirements?*</v>
      </c>
      <c r="C62" s="198" t="str">
        <f>VLOOKUP($A62,Privacy!$A$13:$E$97,3,0)&amp;""</f>
        <v>Yes</v>
      </c>
      <c r="D62" s="70" t="str">
        <f>IF(LEFT(VLOOKUP($A62,Privacy!$A$13:$E$97,5,0),21)='Auto Responses'!$A$32,'Auto Responses'!$A$33,VLOOKUP($A62,Privacy!$A$13:$E$97,4,0))&amp;""</f>
        <v>Standard data processing agreements are in place with processors handling any personal data on our behalf (e.g., hosting and payment providers), requiring them to comply with applicable regulatory requirements.</v>
      </c>
      <c r="E62" s="204" t="str">
        <f>VLOOKUP($A62,Privacy!$A$13:$E$97,5,0)&amp;""</f>
        <v>Provide a summary of the contractual language used and your processes for ensuring appropriate language is regularly reviewed and is included in both new and renewed agreements.</v>
      </c>
      <c r="F62" s="207"/>
      <c r="G62" s="196" t="str">
        <f>VLOOKUP($A62,Questions!$A$2:$X$333,21,0)&amp;""</f>
        <v>Yes</v>
      </c>
      <c r="H62" s="197"/>
      <c r="I62" s="198" t="str">
        <f>VLOOKUP($A62,Questions!$A$2:$X$333,23,0)&amp;""</f>
        <v>Critical Importance</v>
      </c>
      <c r="J62" s="197"/>
      <c r="K62" s="199" t="b">
        <f>FALSE()</f>
        <v>0</v>
      </c>
      <c r="L62" s="3"/>
    </row>
    <row r="63" spans="1:12" s="189" customFormat="1" ht="180" customHeight="1" x14ac:dyDescent="0.15">
      <c r="A63" s="36" t="s">
        <v>356</v>
      </c>
      <c r="B63" s="44" t="str">
        <f>VLOOKUP($A63,Questions!$A$2:$X$333,2,0)</f>
        <v>Do you perform privacy impact assessments of third parties that collect, process, or have access to personal data to ensure they meet industry and regulatory standards and to mitigate harmful, unethical, or discriminatory impacts on data subjects?</v>
      </c>
      <c r="C63" s="198" t="str">
        <f>VLOOKUP($A63,Privacy!$A$13:$E$97,3,0)&amp;""</f>
        <v>No</v>
      </c>
      <c r="D63" s="70" t="str">
        <f>IF(LEFT(VLOOKUP($A63,Privacy!$A$13:$E$97,5,0),21)='Auto Responses'!$A$32,'Auto Responses'!$A$33,VLOOKUP($A63,Privacy!$A$13:$E$97,4,0))&amp;""</f>
        <v>No formal, documented privacy impact assessments are performed on third parties; vendors are selected based on reputation and standard compliance posture (e.g., Adyen’s PCI DSS Level 1 certification).</v>
      </c>
      <c r="E63" s="204" t="str">
        <f>VLOOKUP($A63,Privacy!$A$13:$E$97,5,0)&amp;""</f>
        <v>State your plans to perform data privacy assessments of third parties, including anticipated timelines and remediations if existing third parties cannot maintain or ensure privacy and security of client data entrusted to your organization.</v>
      </c>
      <c r="F63" s="207"/>
      <c r="G63" s="196" t="str">
        <f>VLOOKUP($A63,Questions!$A$2:$X$333,21,0)&amp;""</f>
        <v>Yes</v>
      </c>
      <c r="H63" s="197"/>
      <c r="I63" s="198" t="str">
        <f>VLOOKUP($A63,Questions!$A$2:$X$333,23,0)&amp;""</f>
        <v>Minor Importance</v>
      </c>
      <c r="J63" s="197"/>
      <c r="K63" s="199" t="b">
        <f>FALSE()</f>
        <v>0</v>
      </c>
      <c r="L63" s="3"/>
    </row>
    <row r="64" spans="1:12" s="3" customFormat="1" ht="17.25" customHeight="1" x14ac:dyDescent="0.15">
      <c r="A64" s="32" t="str">
        <f>VLOOKUP(LEFT($A65,4),'Auto Responses'!$N$4:$O$38,2,0)&amp;""</f>
        <v xml:space="preserve"> Privacy Change Management</v>
      </c>
      <c r="B64" s="41"/>
      <c r="C64" s="42"/>
      <c r="D64" s="42"/>
      <c r="E64" s="203"/>
      <c r="F64" s="246" t="s">
        <v>468</v>
      </c>
      <c r="G64" s="200" t="s">
        <v>463</v>
      </c>
      <c r="H64" s="200" t="s">
        <v>464</v>
      </c>
      <c r="I64" s="200" t="s">
        <v>465</v>
      </c>
      <c r="J64" s="200" t="s">
        <v>466</v>
      </c>
      <c r="K64" s="42"/>
    </row>
    <row r="65" spans="1:12" s="189" customFormat="1" ht="75" customHeight="1" x14ac:dyDescent="0.15">
      <c r="A65" s="36" t="s">
        <v>358</v>
      </c>
      <c r="B65" s="44" t="str">
        <f>VLOOKUP($A65,Questions!$A$2:$X$333,2,0)</f>
        <v>Does your change management process include privacy review and approval?</v>
      </c>
      <c r="C65" s="198" t="str">
        <f>VLOOKUP($A65,Privacy!$A$13:$E$97,3,0)&amp;""</f>
        <v>No</v>
      </c>
      <c r="D65" s="70" t="str">
        <f>IF(LEFT(VLOOKUP($A65,Privacy!$A$13:$E$97,5,0),21)='Auto Responses'!$A$32,'Auto Responses'!$A$33,VLOOKUP($A65,Privacy!$A$13:$E$97,4,0))&amp;""</f>
        <v/>
      </c>
      <c r="E65" s="204" t="str">
        <f>VLOOKUP($A65,Privacy!$A$13:$E$97,5,0)&amp;""</f>
        <v>Describe any plans to implement.</v>
      </c>
      <c r="F65" s="207"/>
      <c r="G65" s="196" t="str">
        <f>VLOOKUP($A65,Questions!$A$2:$X$333,21,0)&amp;""</f>
        <v>Yes</v>
      </c>
      <c r="H65" s="197"/>
      <c r="I65" s="198" t="str">
        <f>VLOOKUP($A65,Questions!$A$2:$X$333,23,0)&amp;""</f>
        <v>Standard Importance</v>
      </c>
      <c r="J65" s="197"/>
      <c r="K65" s="199" t="b">
        <f>FALSE()</f>
        <v>0</v>
      </c>
      <c r="L65" s="3"/>
    </row>
    <row r="66" spans="1:12" s="189" customFormat="1" ht="60" customHeight="1" x14ac:dyDescent="0.15">
      <c r="A66" s="36" t="s">
        <v>359</v>
      </c>
      <c r="B66" s="44" t="str">
        <f>VLOOKUP($A66,Questions!$A$2:$X$333,2,0)</f>
        <v>Do you have policy and procedure, currently implemented, guiding how privacy risks are mitigated until they can be resolved?</v>
      </c>
      <c r="C66" s="198" t="str">
        <f>VLOOKUP($A66,Privacy!$A$13:$E$97,3,0)&amp;""</f>
        <v>No</v>
      </c>
      <c r="D66" s="70" t="str">
        <f>IF(LEFT(VLOOKUP($A66,Privacy!$A$13:$E$97,5,0),21)='Auto Responses'!$A$32,'Auto Responses'!$A$33,VLOOKUP($A66,Privacy!$A$13:$E$97,4,0))&amp;""</f>
        <v/>
      </c>
      <c r="E66" s="204" t="str">
        <f>VLOOKUP($A66,Privacy!$A$13:$E$97,5,0)&amp;""</f>
        <v>Describe any plans to implement.</v>
      </c>
      <c r="F66" s="207"/>
      <c r="G66" s="196" t="str">
        <f>VLOOKUP($A66,Questions!$A$2:$X$333,21,0)&amp;""</f>
        <v>Yes</v>
      </c>
      <c r="H66" s="197"/>
      <c r="I66" s="198" t="str">
        <f>VLOOKUP($A66,Questions!$A$2:$X$333,23,0)&amp;""</f>
        <v>Minor Importance</v>
      </c>
      <c r="J66" s="197"/>
      <c r="K66" s="199" t="b">
        <f>FALSE()</f>
        <v>0</v>
      </c>
      <c r="L66" s="3"/>
    </row>
    <row r="67" spans="1:12" s="3" customFormat="1" ht="17.25" customHeight="1" x14ac:dyDescent="0.15">
      <c r="A67" s="32" t="str">
        <f>VLOOKUP(LEFT($A68,4),'Auto Responses'!$N$4:$O$38,2,0)&amp;""</f>
        <v xml:space="preserve"> Privacy of Sensitive Data</v>
      </c>
      <c r="B67" s="41"/>
      <c r="C67" s="42"/>
      <c r="D67" s="42"/>
      <c r="E67" s="203"/>
      <c r="F67" s="246" t="s">
        <v>468</v>
      </c>
      <c r="G67" s="200" t="s">
        <v>463</v>
      </c>
      <c r="H67" s="200" t="s">
        <v>464</v>
      </c>
      <c r="I67" s="200" t="s">
        <v>465</v>
      </c>
      <c r="J67" s="200" t="s">
        <v>466</v>
      </c>
      <c r="K67" s="42"/>
    </row>
    <row r="68" spans="1:12" s="189" customFormat="1" ht="240" customHeight="1" x14ac:dyDescent="0.15">
      <c r="A68" s="36" t="s">
        <v>360</v>
      </c>
      <c r="B68" s="44" t="str">
        <f>VLOOKUP($A68,Questions!$A$2:$X$333,2,0)</f>
        <v>Do you collect, process, or store demographic information?*</v>
      </c>
      <c r="C68" s="198" t="str">
        <f>VLOOKUP($A68,Privacy!$A$13:$E$97,3,0)&amp;""</f>
        <v>No</v>
      </c>
      <c r="D68" s="70" t="str">
        <f>IF(LEFT(VLOOKUP($A68,Privacy!$A$13:$E$97,5,0),21)='Auto Responses'!$A$32,'Auto Responses'!$A$33,VLOOKUP($A68,Privacy!$A$13:$E$97,4,0))&amp;""</f>
        <v/>
      </c>
      <c r="E68" s="204"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207"/>
      <c r="G68" s="196" t="str">
        <f>VLOOKUP($A68,Questions!$A$2:$X$333,21,0)&amp;""</f>
        <v>No</v>
      </c>
      <c r="H68" s="197"/>
      <c r="I68" s="198" t="str">
        <f>VLOOKUP($A68,Questions!$A$2:$X$333,23,0)&amp;""</f>
        <v>Critical Importance</v>
      </c>
      <c r="J68" s="197"/>
      <c r="K68" s="199" t="b">
        <f>FALSE()</f>
        <v>0</v>
      </c>
      <c r="L68" s="3"/>
    </row>
    <row r="69" spans="1:12" s="189" customFormat="1" ht="285" customHeight="1" x14ac:dyDescent="0.15">
      <c r="A69" s="36" t="s">
        <v>361</v>
      </c>
      <c r="B69" s="44" t="str">
        <f>VLOOKUP($A69,Questions!$A$2:$X$333,2,0)</f>
        <v>Do you capture or create genetic, biometric, or behaviometric information (e.g., facial recognition or fingerprints)?*</v>
      </c>
      <c r="C69" s="198" t="str">
        <f>VLOOKUP($A69,Privacy!$A$13:$E$97,3,0)&amp;""</f>
        <v>No</v>
      </c>
      <c r="D69" s="70" t="str">
        <f>IF(LEFT(VLOOKUP($A69,Privacy!$A$13:$E$97,5,0),21)='Auto Responses'!$A$32,'Auto Responses'!$A$33,VLOOKUP($A69,Privacy!$A$13:$E$97,4,0))&amp;""</f>
        <v/>
      </c>
      <c r="E69" s="204"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207"/>
      <c r="G69" s="196" t="str">
        <f>VLOOKUP($A69,Questions!$A$2:$X$333,21,0)&amp;""</f>
        <v>No</v>
      </c>
      <c r="H69" s="197"/>
      <c r="I69" s="198" t="str">
        <f>VLOOKUP($A69,Questions!$A$2:$X$333,23,0)&amp;""</f>
        <v>Critical Importance</v>
      </c>
      <c r="J69" s="197"/>
      <c r="K69" s="199" t="b">
        <f>FALSE()</f>
        <v>0</v>
      </c>
      <c r="L69" s="3"/>
    </row>
    <row r="70" spans="1:12" s="189" customFormat="1" ht="225" customHeight="1" x14ac:dyDescent="0.15">
      <c r="A70" s="36" t="s">
        <v>362</v>
      </c>
      <c r="B70" s="44" t="str">
        <f>VLOOKUP($A70,Questions!$A$2:$X$333,2,0)</f>
        <v>Do you combine institutional data (including "de-identified," "anonymized," or otherwise masked data) with personal data from any other sources?*</v>
      </c>
      <c r="C70" s="198" t="str">
        <f>VLOOKUP($A70,Privacy!$A$13:$E$97,3,0)&amp;""</f>
        <v>No</v>
      </c>
      <c r="D70" s="70" t="str">
        <f>IF(LEFT(VLOOKUP($A70,Privacy!$A$13:$E$97,5,0),21)='Auto Responses'!$A$32,'Auto Responses'!$A$33,VLOOKUP($A70,Privacy!$A$13:$E$97,4,0))&amp;""</f>
        <v/>
      </c>
      <c r="E70" s="204"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207"/>
      <c r="G70" s="196" t="str">
        <f>VLOOKUP($A70,Questions!$A$2:$X$333,21,0)&amp;""</f>
        <v>No</v>
      </c>
      <c r="H70" s="197"/>
      <c r="I70" s="198" t="str">
        <f>VLOOKUP($A70,Questions!$A$2:$X$333,23,0)&amp;""</f>
        <v>Critical Importance</v>
      </c>
      <c r="J70" s="197"/>
      <c r="K70" s="199" t="b">
        <f>FALSE()</f>
        <v>0</v>
      </c>
      <c r="L70" s="3"/>
    </row>
    <row r="71" spans="1:12" s="189" customFormat="1" ht="165" customHeight="1" x14ac:dyDescent="0.15">
      <c r="A71" s="36" t="s">
        <v>363</v>
      </c>
      <c r="B71" s="44" t="str">
        <f>VLOOKUP($A71,Questions!$A$2:$X$333,2,0)</f>
        <v>Is institutional data coming into or going out of the United States at any point during collection, processing, storage, or archiving?</v>
      </c>
      <c r="C71" s="198" t="str">
        <f>VLOOKUP($A71,Privacy!$A$13:$E$97,3,0)&amp;""</f>
        <v>No</v>
      </c>
      <c r="D71" s="70" t="str">
        <f>IF(LEFT(VLOOKUP($A71,Privacy!$A$13:$E$97,5,0),21)='Auto Responses'!$A$32,'Auto Responses'!$A$33,VLOOKUP($A71,Privacy!$A$13:$E$97,4,0))&amp;""</f>
        <v/>
      </c>
      <c r="E71" s="204"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207"/>
      <c r="G71" s="196" t="str">
        <f>VLOOKUP($A71,Questions!$A$2:$X$333,21,0)&amp;""</f>
        <v>No</v>
      </c>
      <c r="H71" s="197"/>
      <c r="I71" s="198" t="str">
        <f>VLOOKUP($A71,Questions!$A$2:$X$333,23,0)&amp;""</f>
        <v>Minor Importance</v>
      </c>
      <c r="J71" s="197"/>
      <c r="K71" s="199" t="b">
        <f>FALSE()</f>
        <v>0</v>
      </c>
      <c r="L71" s="3"/>
    </row>
    <row r="72" spans="1:12" s="189" customFormat="1" ht="120" customHeight="1" x14ac:dyDescent="0.15">
      <c r="A72" s="36" t="s">
        <v>364</v>
      </c>
      <c r="B72" s="44" t="str">
        <f>VLOOKUP($A72,Questions!$A$2:$X$333,2,0)</f>
        <v>Do you capture device information (e.g., IP address, MAC address)?</v>
      </c>
      <c r="C72" s="198" t="str">
        <f>VLOOKUP($A72,Privacy!$A$13:$E$97,3,0)&amp;""</f>
        <v>Yes</v>
      </c>
      <c r="D72" s="70" t="str">
        <f>IF(LEFT(VLOOKUP($A72,Privacy!$A$13:$E$97,5,0),21)='Auto Responses'!$A$32,'Auto Responses'!$A$33,VLOOKUP($A72,Privacy!$A$13:$E$97,4,0))&amp;""</f>
        <v>Standard server/connection logs (e.g., IP address) may be captured as part of license validation and, if enabled, crash/usage telemetry.</v>
      </c>
      <c r="E72" s="204" t="str">
        <f>VLOOKUP($A72,Privacy!$A$13:$E$97,5,0)&amp;""</f>
        <v>Describe what information you collect and the reason for collecting it.</v>
      </c>
      <c r="F72" s="207"/>
      <c r="G72" s="196" t="str">
        <f>VLOOKUP($A72,Questions!$A$2:$X$333,21,0)&amp;""</f>
        <v>No</v>
      </c>
      <c r="H72" s="197"/>
      <c r="I72" s="198" t="str">
        <f>VLOOKUP($A72,Questions!$A$2:$X$333,23,0)&amp;""</f>
        <v>Minor Importance</v>
      </c>
      <c r="J72" s="197"/>
      <c r="K72" s="199" t="b">
        <f>FALSE()</f>
        <v>0</v>
      </c>
      <c r="L72" s="3"/>
    </row>
    <row r="73" spans="1:12" s="189" customFormat="1" ht="60" customHeight="1" x14ac:dyDescent="0.15">
      <c r="A73" s="36" t="s">
        <v>366</v>
      </c>
      <c r="B73" s="44" t="str">
        <f>VLOOKUP($A73,Questions!$A$2:$X$333,2,0)</f>
        <v>Does any part of this service/project involve a web/app tracking component (e.g., use of web-tracking pixels, cookies)?</v>
      </c>
      <c r="C73" s="198" t="str">
        <f>VLOOKUP($A73,Privacy!$A$13:$E$97,3,0)&amp;""</f>
        <v>Yes</v>
      </c>
      <c r="D73" s="70" t="str">
        <f>IF(LEFT(VLOOKUP($A73,Privacy!$A$13:$E$97,5,0),21)='Auto Responses'!$A$32,'Auto Responses'!$A$33,VLOOKUP($A73,Privacy!$A$13:$E$97,4,0))&amp;""</f>
        <v>The smartpls.com website may use standard cookies/analytics.</v>
      </c>
      <c r="E73" s="204" t="str">
        <f>VLOOKUP($A73,Privacy!$A$13:$E$97,5,0)&amp;""</f>
        <v>Describe the tracking component and what is done with the information.</v>
      </c>
      <c r="F73" s="207"/>
      <c r="G73" s="196" t="str">
        <f>VLOOKUP($A73,Questions!$A$2:$X$333,21,0)&amp;""</f>
        <v>No</v>
      </c>
      <c r="H73" s="197"/>
      <c r="I73" s="198" t="str">
        <f>VLOOKUP($A73,Questions!$A$2:$X$333,23,0)&amp;""</f>
        <v>Minor Importance</v>
      </c>
      <c r="J73" s="197"/>
      <c r="K73" s="199" t="b">
        <f>FALSE()</f>
        <v>0</v>
      </c>
      <c r="L73" s="3"/>
    </row>
    <row r="74" spans="1:12" s="189" customFormat="1" ht="45" customHeight="1" x14ac:dyDescent="0.15">
      <c r="A74" s="36" t="s">
        <v>368</v>
      </c>
      <c r="B74" s="44" t="str">
        <f>VLOOKUP($A74,Questions!$A$2:$X$333,2,0)</f>
        <v>Does your staff (or a third party) have access to institutional data (e.g., financial, PHI, or other sensitive information) through any means?</v>
      </c>
      <c r="C74" s="198" t="str">
        <f>VLOOKUP($A74,Privacy!$A$13:$E$97,3,0)&amp;""</f>
        <v>No</v>
      </c>
      <c r="D74" s="70" t="str">
        <f>IF(LEFT(VLOOKUP($A74,Privacy!$A$13:$E$97,5,0),21)='Auto Responses'!$A$32,'Auto Responses'!$A$33,VLOOKUP($A74,Privacy!$A$13:$E$97,4,0))&amp;""</f>
        <v>Institutional research data processed within SmartPLS Desktop remains on the customer’s own device and is not accessible to SmartPLS staff or any third party.</v>
      </c>
      <c r="E74" s="204" t="str">
        <f>VLOOKUP($A74,Privacy!$A$13:$E$97,5,0)&amp;""</f>
        <v>Accessing institutional data may be necessary for legitimate business purposes.</v>
      </c>
      <c r="F74" s="207"/>
      <c r="G74" s="196" t="str">
        <f>VLOOKUP($A74,Questions!$A$2:$X$333,21,0)&amp;""</f>
        <v>No</v>
      </c>
      <c r="H74" s="197"/>
      <c r="I74" s="198" t="str">
        <f>VLOOKUP($A74,Questions!$A$2:$X$333,23,0)&amp;""</f>
        <v>Minor Importance</v>
      </c>
      <c r="J74" s="197"/>
      <c r="K74" s="199" t="b">
        <f>FALSE()</f>
        <v>0</v>
      </c>
      <c r="L74" s="3"/>
    </row>
    <row r="75" spans="1:12" s="189" customFormat="1" ht="40.5" customHeight="1" x14ac:dyDescent="0.15">
      <c r="A75" s="36" t="s">
        <v>370</v>
      </c>
      <c r="B75" s="44" t="str">
        <f>VLOOKUP($A75,Questions!$A$2:$X$333,2,0)</f>
        <v>Will you handle personal data in a manner compliant with all relevant laws, regulations, and applicable institution policies?</v>
      </c>
      <c r="C75" s="198" t="str">
        <f>VLOOKUP($A75,Privacy!$A$13:$E$97,3,0)&amp;""</f>
        <v>Yes</v>
      </c>
      <c r="D75" s="70" t="str">
        <f>IF(LEFT(VLOOKUP($A75,Privacy!$A$13:$E$97,5,0),21)='Auto Responses'!$A$32,'Auto Responses'!$A$33,VLOOKUP($A75,Privacy!$A$13:$E$97,4,0))&amp;""</f>
        <v>SmartPLS GmbH will handle personal data in a manner compliant with applicable law, regulation, and reasonable institutional policy.</v>
      </c>
      <c r="E75" s="204" t="str">
        <f>VLOOKUP($A75,Privacy!$A$13:$E$97,5,0)&amp;""</f>
        <v/>
      </c>
      <c r="F75" s="207"/>
      <c r="G75" s="196" t="str">
        <f>VLOOKUP($A75,Questions!$A$2:$X$333,21,0)&amp;""</f>
        <v>Not scored</v>
      </c>
      <c r="H75" s="197"/>
      <c r="I75" s="198" t="str">
        <f>VLOOKUP($A75,Questions!$A$2:$X$333,23,0)&amp;""</f>
        <v/>
      </c>
      <c r="J75" s="197"/>
      <c r="K75" s="199" t="b">
        <f>FALSE()</f>
        <v>0</v>
      </c>
      <c r="L75" s="3"/>
    </row>
    <row r="76" spans="1:12" s="3" customFormat="1" ht="17.25" customHeight="1" x14ac:dyDescent="0.15">
      <c r="A76" s="32" t="str">
        <f>VLOOKUP(LEFT($A77,4),'Auto Responses'!$N$4:$O$38,2,0)&amp;""</f>
        <v xml:space="preserve"> Privacy Policies and Procedures</v>
      </c>
      <c r="B76" s="41"/>
      <c r="C76" s="42"/>
      <c r="D76" s="42"/>
      <c r="E76" s="203"/>
      <c r="F76" s="246" t="s">
        <v>468</v>
      </c>
      <c r="G76" s="200" t="s">
        <v>463</v>
      </c>
      <c r="H76" s="200" t="s">
        <v>464</v>
      </c>
      <c r="I76" s="200" t="s">
        <v>465</v>
      </c>
      <c r="J76" s="200" t="s">
        <v>466</v>
      </c>
      <c r="K76" s="42"/>
    </row>
    <row r="77" spans="1:12" s="189" customFormat="1" ht="27" customHeight="1" x14ac:dyDescent="0.15">
      <c r="A77" s="36" t="s">
        <v>372</v>
      </c>
      <c r="B77" s="44" t="str">
        <f>VLOOKUP($A77,Questions!$A$2:$X$333,2,0)</f>
        <v>Do you have a documented privacy management process?</v>
      </c>
      <c r="C77" s="198" t="str">
        <f>VLOOKUP($A77,Privacy!$A$13:$E$97,3,0)&amp;""</f>
        <v>No</v>
      </c>
      <c r="D77" s="70" t="str">
        <f>IF(LEFT(VLOOKUP($A77,Privacy!$A$13:$E$97,5,0),21)='Auto Responses'!$A$32,'Auto Responses'!$A$33,VLOOKUP($A77,Privacy!$A$13:$E$97,4,0))&amp;""</f>
        <v/>
      </c>
      <c r="E77" s="204" t="str">
        <f>VLOOKUP($A77,Privacy!$A$13:$E$97,5,0)&amp;""</f>
        <v>Are there plans to implement? If so, when will this be completed?</v>
      </c>
      <c r="F77" s="207"/>
      <c r="G77" s="196" t="str">
        <f>VLOOKUP($A77,Questions!$A$2:$X$333,21,0)&amp;""</f>
        <v>Yes</v>
      </c>
      <c r="H77" s="197"/>
      <c r="I77" s="198" t="str">
        <f>VLOOKUP($A77,Questions!$A$2:$X$333,23,0)&amp;""</f>
        <v>Minor Importance</v>
      </c>
      <c r="J77" s="197"/>
      <c r="K77" s="199" t="b">
        <f>FALSE()</f>
        <v>0</v>
      </c>
      <c r="L77" s="3"/>
    </row>
    <row r="78" spans="1:12" s="189" customFormat="1" ht="180" customHeight="1" x14ac:dyDescent="0.15">
      <c r="A78" s="36" t="s">
        <v>373</v>
      </c>
      <c r="B78" s="44" t="str">
        <f>VLOOKUP($A78,Questions!$A$2:$X$333,2,0)</f>
        <v>Are privacy principles designed into the product lifecycle (i.e., privacy-by-design)?</v>
      </c>
      <c r="C78" s="198" t="str">
        <f>VLOOKUP($A78,Privacy!$A$13:$E$97,3,0)&amp;""</f>
        <v>Yes</v>
      </c>
      <c r="D78" s="70" t="str">
        <f>IF(LEFT(VLOOKUP($A78,Privacy!$A$13:$E$97,5,0),21)='Auto Responses'!$A$32,'Auto Responses'!$A$33,VLOOKUP($A78,Privacy!$A$13:$E$97,4,0))&amp;""</f>
        <v>The product is designed to keep institutional/research data on the customer’s own device by default, minimizing personal data collected by SmartPLS GmbH.</v>
      </c>
      <c r="E78" s="204" t="str">
        <f>VLOOKUP($A78,Privacy!$A$13:$E$97,5,0)&amp;""</f>
        <v>Summarize the privacy principles designed into the product lifecycle.</v>
      </c>
      <c r="F78" s="207"/>
      <c r="G78" s="196" t="str">
        <f>VLOOKUP($A78,Questions!$A$2:$X$333,21,0)&amp;""</f>
        <v>Yes</v>
      </c>
      <c r="H78" s="197"/>
      <c r="I78" s="198" t="str">
        <f>VLOOKUP($A78,Questions!$A$2:$X$333,23,0)&amp;""</f>
        <v>Minor Importance</v>
      </c>
      <c r="J78" s="197"/>
      <c r="K78" s="199" t="b">
        <f>FALSE()</f>
        <v>0</v>
      </c>
      <c r="L78" s="3"/>
    </row>
    <row r="79" spans="1:12" s="189" customFormat="1" ht="27" customHeight="1" x14ac:dyDescent="0.15">
      <c r="A79" s="36" t="s">
        <v>375</v>
      </c>
      <c r="B79" s="44" t="str">
        <f>VLOOKUP($A79,Questions!$A$2:$X$333,2,0)</f>
        <v>Will you comply with applicable breach notification laws?</v>
      </c>
      <c r="C79" s="198" t="str">
        <f>VLOOKUP($A79,Privacy!$A$13:$E$97,3,0)&amp;""</f>
        <v>Yes</v>
      </c>
      <c r="D79" s="70" t="str">
        <f>IF(LEFT(VLOOKUP($A79,Privacy!$A$13:$E$97,5,0),21)='Auto Responses'!$A$32,'Auto Responses'!$A$33,VLOOKUP($A79,Privacy!$A$13:$E$97,4,0))&amp;""</f>
        <v/>
      </c>
      <c r="E79" s="204" t="str">
        <f>VLOOKUP($A79,Privacy!$A$13:$E$97,5,0)&amp;""</f>
        <v>State how quickly the institution will be notified once a breach is identified, in addition to notifying the necessary governmental agencies based on the extent of the breach.</v>
      </c>
      <c r="F79" s="207"/>
      <c r="G79" s="196" t="str">
        <f>VLOOKUP($A79,Questions!$A$2:$X$333,21,0)&amp;""</f>
        <v>Yes</v>
      </c>
      <c r="H79" s="197"/>
      <c r="I79" s="198" t="str">
        <f>VLOOKUP($A79,Questions!$A$2:$X$333,23,0)&amp;""</f>
        <v>Standard Importance</v>
      </c>
      <c r="J79" s="197"/>
      <c r="K79" s="199" t="b">
        <f>FALSE()</f>
        <v>0</v>
      </c>
      <c r="L79" s="3"/>
    </row>
    <row r="80" spans="1:12" s="189" customFormat="1" ht="75" customHeight="1" x14ac:dyDescent="0.15">
      <c r="A80" s="36" t="s">
        <v>376</v>
      </c>
      <c r="B80" s="44" t="str">
        <f>VLOOKUP($A80,Questions!$A$2:$X$333,2,0)</f>
        <v>Will you comply with the institution's policies regarding user privacy and data protection?</v>
      </c>
      <c r="C80" s="198" t="str">
        <f>VLOOKUP($A80,Privacy!$A$13:$E$97,3,0)&amp;""</f>
        <v>Yes</v>
      </c>
      <c r="D80" s="70" t="str">
        <f>IF(LEFT(VLOOKUP($A80,Privacy!$A$13:$E$97,5,0),21)='Auto Responses'!$A$32,'Auto Responses'!$A$33,VLOOKUP($A80,Privacy!$A$13:$E$97,4,0))&amp;""</f>
        <v/>
      </c>
      <c r="E80" s="204" t="str">
        <f>VLOOKUP($A80,Privacy!$A$13:$E$97,5,0)&amp;""</f>
        <v/>
      </c>
      <c r="F80" s="207"/>
      <c r="G80" s="196" t="str">
        <f>VLOOKUP($A80,Questions!$A$2:$X$333,21,0)&amp;""</f>
        <v>Yes</v>
      </c>
      <c r="H80" s="197"/>
      <c r="I80" s="198" t="str">
        <f>VLOOKUP($A80,Questions!$A$2:$X$333,23,0)&amp;""</f>
        <v>Minor Importance</v>
      </c>
      <c r="J80" s="197"/>
      <c r="K80" s="199" t="b">
        <f>FALSE()</f>
        <v>0</v>
      </c>
      <c r="L80" s="3"/>
    </row>
    <row r="81" spans="1:12" s="189" customFormat="1" ht="75" customHeight="1" x14ac:dyDescent="0.15">
      <c r="A81" s="36" t="s">
        <v>377</v>
      </c>
      <c r="B81" s="44" t="str">
        <f>VLOOKUP($A81,Questions!$A$2:$X$333,2,0)</f>
        <v>Is your company subject to the laws and regulations of the institution's geographic region?</v>
      </c>
      <c r="C81" s="198" t="str">
        <f>VLOOKUP($A81,Privacy!$A$13:$E$97,3,0)&amp;""</f>
        <v>Yes</v>
      </c>
      <c r="D81" s="70" t="str">
        <f>IF(LEFT(VLOOKUP($A81,Privacy!$A$13:$E$97,5,0),21)='Auto Responses'!$A$32,'Auto Responses'!$A$33,VLOOKUP($A81,Privacy!$A$13:$E$97,4,0))&amp;""</f>
        <v>SmartPLS GmbH is subject to German/EU law and will contractually agree to comply with the institution’s applicable jurisdictional requirements as needed.</v>
      </c>
      <c r="E81" s="204" t="str">
        <f>VLOOKUP($A81,Privacy!$A$13:$E$97,5,0)&amp;""</f>
        <v/>
      </c>
      <c r="F81" s="207"/>
      <c r="G81" s="196" t="str">
        <f>VLOOKUP($A81,Questions!$A$2:$X$333,21,0)&amp;""</f>
        <v>Yes</v>
      </c>
      <c r="H81" s="197"/>
      <c r="I81" s="198" t="str">
        <f>VLOOKUP($A81,Questions!$A$2:$X$333,23,0)&amp;""</f>
        <v>Minor Importance</v>
      </c>
      <c r="J81" s="197"/>
      <c r="K81" s="199" t="b">
        <f>FALSE()</f>
        <v>0</v>
      </c>
      <c r="L81" s="3"/>
    </row>
    <row r="82" spans="1:12" s="189" customFormat="1" ht="150" customHeight="1" x14ac:dyDescent="0.15">
      <c r="A82" s="36" t="s">
        <v>379</v>
      </c>
      <c r="B82" s="44" t="str">
        <f>VLOOKUP($A82,Questions!$A$2:$X$333,2,0)</f>
        <v>Do you have a privacy awareness/training program?*</v>
      </c>
      <c r="C82" s="198" t="str">
        <f>VLOOKUP($A82,Privacy!$A$13:$E$97,3,0)&amp;""</f>
        <v>No</v>
      </c>
      <c r="D82" s="70" t="str">
        <f>IF(LEFT(VLOOKUP($A82,Privacy!$A$13:$E$97,5,0),21)='Auto Responses'!$A$32,'Auto Responses'!$A$33,VLOOKUP($A82,Privacy!$A$13:$E$97,4,0))&amp;""</f>
        <v/>
      </c>
      <c r="E82" s="204" t="str">
        <f>VLOOKUP($A82,Privacy!$A$13:$E$97,5,0)&amp;""</f>
        <v>Describe plans to include data privacy training or why you have determined it is not needed.</v>
      </c>
      <c r="F82" s="207"/>
      <c r="G82" s="196" t="str">
        <f>VLOOKUP($A82,Questions!$A$2:$X$333,21,0)&amp;""</f>
        <v>Yes</v>
      </c>
      <c r="H82" s="197"/>
      <c r="I82" s="198" t="str">
        <f>VLOOKUP($A82,Questions!$A$2:$X$333,23,0)&amp;""</f>
        <v>Critical Importance</v>
      </c>
      <c r="J82" s="197"/>
      <c r="K82" s="199" t="b">
        <f>FALSE()</f>
        <v>0</v>
      </c>
      <c r="L82" s="3"/>
    </row>
    <row r="83" spans="1:12" s="189" customFormat="1" ht="27" customHeight="1" x14ac:dyDescent="0.15">
      <c r="A83" s="36" t="s">
        <v>380</v>
      </c>
      <c r="B83" s="44" t="str">
        <f>VLOOKUP($A83,Questions!$A$2:$X$333,2,0)</f>
        <v>Is privacy awareness training mandatory for all employees?</v>
      </c>
      <c r="C83" s="198" t="str">
        <f>VLOOKUP($A83,Privacy!$A$13:$E$97,3,0)&amp;""</f>
        <v>No</v>
      </c>
      <c r="D83" s="70" t="str">
        <f>IF(LEFT(VLOOKUP($A83,Privacy!$A$13:$E$97,5,0),21)='Auto Responses'!$A$32,'Auto Responses'!$A$33,VLOOKUP($A83,Privacy!$A$13:$E$97,4,0))&amp;""</f>
        <v/>
      </c>
      <c r="E83" s="204" t="str">
        <f>VLOOKUP($A83,Privacy!$A$13:$E$97,5,0)&amp;""</f>
        <v>Describe plans to require.</v>
      </c>
      <c r="F83" s="207"/>
      <c r="G83" s="196" t="str">
        <f>VLOOKUP($A83,Questions!$A$2:$X$333,21,0)&amp;""</f>
        <v>Yes</v>
      </c>
      <c r="H83" s="197"/>
      <c r="I83" s="198" t="str">
        <f>VLOOKUP($A83,Questions!$A$2:$X$333,23,0)&amp;""</f>
        <v>Minor Importance</v>
      </c>
      <c r="J83" s="197"/>
      <c r="K83" s="199" t="b">
        <f>FALSE()</f>
        <v>0</v>
      </c>
      <c r="L83" s="3"/>
    </row>
    <row r="84" spans="1:12" s="189" customFormat="1" ht="27" customHeight="1" x14ac:dyDescent="0.15">
      <c r="A84" s="36" t="s">
        <v>381</v>
      </c>
      <c r="B84" s="44" t="str">
        <f>VLOOKUP($A84,Questions!$A$2:$X$333,2,0)</f>
        <v>Is AI privacy and ethics awareness/training required for all employees who work with AI?</v>
      </c>
      <c r="C84" s="198" t="str">
        <f>VLOOKUP($A84,Privacy!$A$13:$E$97,3,0)&amp;""</f>
        <v>N/A</v>
      </c>
      <c r="D84" s="70" t="str">
        <f>IF(LEFT(VLOOKUP($A84,Privacy!$A$13:$E$97,5,0),21)='Auto Responses'!$A$32,'Auto Responses'!$A$33,VLOOKUP($A84,Privacy!$A$13:$E$97,4,0))&amp;""</f>
        <v/>
      </c>
      <c r="E84" s="204" t="str">
        <f>VLOOKUP($A84,Privacy!$A$13:$E$97,5,0)&amp;""</f>
        <v>Please explain why this does not apply to your product or service.</v>
      </c>
      <c r="F84" s="207"/>
      <c r="G84" s="196" t="str">
        <f>VLOOKUP($A84,Questions!$A$2:$X$333,21,0)&amp;""</f>
        <v>Yes</v>
      </c>
      <c r="H84" s="197"/>
      <c r="I84" s="198" t="str">
        <f>VLOOKUP($A84,Questions!$A$2:$X$333,23,0)&amp;""</f>
        <v>Minor Importance</v>
      </c>
      <c r="J84" s="197"/>
      <c r="K84" s="199" t="b">
        <f>FALSE()</f>
        <v>0</v>
      </c>
      <c r="L84" s="3"/>
    </row>
    <row r="85" spans="1:12" s="189" customFormat="1" ht="150" customHeight="1" x14ac:dyDescent="0.15">
      <c r="A85" s="36" t="s">
        <v>382</v>
      </c>
      <c r="B85" s="44" t="str">
        <f>VLOOKUP($A85,Questions!$A$2:$X$333,2,0)</f>
        <v>Do you have any decision-making processes that are completely automated (i.e., there is no human involvement)?</v>
      </c>
      <c r="C85" s="198" t="str">
        <f>VLOOKUP($A85,Privacy!$A$13:$E$97,3,0)&amp;""</f>
        <v>No</v>
      </c>
      <c r="D85" s="70" t="str">
        <f>IF(LEFT(VLOOKUP($A85,Privacy!$A$13:$E$97,5,0),21)='Auto Responses'!$A$32,'Auto Responses'!$A$33,VLOOKUP($A85,Privacy!$A$13:$E$97,4,0))&amp;""</f>
        <v/>
      </c>
      <c r="E85" s="204"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207"/>
      <c r="G85" s="196" t="str">
        <f>VLOOKUP($A85,Questions!$A$2:$X$333,21,0)&amp;""</f>
        <v>No</v>
      </c>
      <c r="H85" s="197"/>
      <c r="I85" s="198" t="str">
        <f>VLOOKUP($A85,Questions!$A$2:$X$333,23,0)&amp;""</f>
        <v>Minor Importance</v>
      </c>
      <c r="J85" s="197"/>
      <c r="K85" s="199" t="b">
        <f>FALSE()</f>
        <v>0</v>
      </c>
      <c r="L85" s="3"/>
    </row>
    <row r="86" spans="1:12" s="189" customFormat="1" ht="40.5" customHeight="1" x14ac:dyDescent="0.15">
      <c r="A86" s="36" t="s">
        <v>383</v>
      </c>
      <c r="B86" s="44" t="str">
        <f>VLOOKUP($A86,Questions!$A$2:$X$333,2,0)</f>
        <v>Do you have a documented process for managing automated processing, including validations, monitoring, and data subject requests?</v>
      </c>
      <c r="C86" s="198" t="str">
        <f>VLOOKUP($A86,Privacy!$A$13:$E$97,3,0)&amp;""</f>
        <v>No</v>
      </c>
      <c r="D86" s="70" t="str">
        <f>IF(LEFT(VLOOKUP($A86,Privacy!$A$13:$E$97,5,0),21)='Auto Responses'!$A$32,'Auto Responses'!$A$33,VLOOKUP($A86,Privacy!$A$13:$E$97,4,0))&amp;""</f>
        <v/>
      </c>
      <c r="E86" s="204" t="str">
        <f>VLOOKUP($A86,Privacy!$A$13:$E$97,5,0)&amp;""</f>
        <v>Describe plans to implement processes in the future.</v>
      </c>
      <c r="F86" s="207"/>
      <c r="G86" s="196" t="str">
        <f>VLOOKUP($A86,Questions!$A$2:$X$333,21,0)&amp;""</f>
        <v>Yes</v>
      </c>
      <c r="H86" s="197"/>
      <c r="I86" s="198" t="str">
        <f>VLOOKUP($A86,Questions!$A$2:$X$333,23,0)&amp;""</f>
        <v>Minor Importance</v>
      </c>
      <c r="J86" s="197"/>
      <c r="K86" s="199" t="b">
        <f>FALSE()</f>
        <v>0</v>
      </c>
      <c r="L86" s="3"/>
    </row>
    <row r="87" spans="1:12" s="189" customFormat="1" ht="27" customHeight="1" x14ac:dyDescent="0.15">
      <c r="A87" s="36" t="s">
        <v>384</v>
      </c>
      <c r="B87" s="44" t="str">
        <f>VLOOKUP($A87,Questions!$A$2:$X$333,2,0)</f>
        <v>Do you have a documented policy for sharing information with law enforcement?</v>
      </c>
      <c r="C87" s="198" t="str">
        <f>VLOOKUP($A87,Privacy!$A$13:$E$97,3,0)&amp;""</f>
        <v>No</v>
      </c>
      <c r="D87" s="70" t="str">
        <f>IF(LEFT(VLOOKUP($A87,Privacy!$A$13:$E$97,5,0),21)='Auto Responses'!$A$32,'Auto Responses'!$A$33,VLOOKUP($A87,Privacy!$A$13:$E$97,4,0))&amp;""</f>
        <v/>
      </c>
      <c r="E87" s="204" t="str">
        <f>VLOOKUP($A87,Privacy!$A$13:$E$97,5,0)&amp;""</f>
        <v>Explain any plans to develop a policy. If no plans exist, explain why not.</v>
      </c>
      <c r="F87" s="207"/>
      <c r="G87" s="196" t="str">
        <f>VLOOKUP($A87,Questions!$A$2:$X$333,21,0)&amp;""</f>
        <v>Yes</v>
      </c>
      <c r="H87" s="197"/>
      <c r="I87" s="198" t="str">
        <f>VLOOKUP($A87,Questions!$A$2:$X$333,23,0)&amp;""</f>
        <v>Minor Importance</v>
      </c>
      <c r="J87" s="197"/>
      <c r="K87" s="199" t="b">
        <f>FALSE()</f>
        <v>0</v>
      </c>
      <c r="L87" s="3"/>
    </row>
    <row r="88" spans="1:12" s="189" customFormat="1" ht="27" customHeight="1" x14ac:dyDescent="0.15">
      <c r="A88" s="36" t="s">
        <v>385</v>
      </c>
      <c r="B88" s="44" t="str">
        <f>VLOOKUP($A88,Questions!$A$2:$X$333,2,0)</f>
        <v>Do you share any institutional data with law enforcement without a valid warrant or subpoena?*</v>
      </c>
      <c r="C88" s="198" t="str">
        <f>VLOOKUP($A88,Privacy!$A$13:$E$97,3,0)&amp;""</f>
        <v>No</v>
      </c>
      <c r="D88" s="70" t="str">
        <f>IF(LEFT(VLOOKUP($A88,Privacy!$A$13:$E$97,5,0),21)='Auto Responses'!$A$32,'Auto Responses'!$A$33,VLOOKUP($A88,Privacy!$A$13:$E$97,4,0))&amp;""</f>
        <v/>
      </c>
      <c r="E88" s="204" t="str">
        <f>VLOOKUP($A88,Privacy!$A$13:$E$97,5,0)&amp;""</f>
        <v>Describe how you ensure this does not occur.</v>
      </c>
      <c r="F88" s="207"/>
      <c r="G88" s="196" t="str">
        <f>VLOOKUP($A88,Questions!$A$2:$X$333,21,0)&amp;""</f>
        <v>No</v>
      </c>
      <c r="H88" s="197"/>
      <c r="I88" s="198" t="str">
        <f>VLOOKUP($A88,Questions!$A$2:$X$333,23,0)&amp;""</f>
        <v>Critical Importance</v>
      </c>
      <c r="J88" s="197"/>
      <c r="K88" s="199" t="b">
        <f>FALSE()</f>
        <v>0</v>
      </c>
      <c r="L88" s="3"/>
    </row>
    <row r="89" spans="1:12" s="189" customFormat="1" ht="75" customHeight="1" x14ac:dyDescent="0.15">
      <c r="A89" s="36" t="s">
        <v>386</v>
      </c>
      <c r="B89" s="44" t="str">
        <f>VLOOKUP($A89,Questions!$A$2:$X$333,2,0)</f>
        <v>Does your incident response team include a privacy analyst/officer?</v>
      </c>
      <c r="C89" s="198" t="str">
        <f>VLOOKUP($A89,Privacy!$A$13:$E$97,3,0)&amp;""</f>
        <v>No</v>
      </c>
      <c r="D89" s="70" t="str">
        <f>IF(LEFT(VLOOKUP($A89,Privacy!$A$13:$E$97,5,0),21)='Auto Responses'!$A$32,'Auto Responses'!$A$33,VLOOKUP($A89,Privacy!$A$13:$E$97,4,0))&amp;""</f>
        <v/>
      </c>
      <c r="E89" s="204" t="str">
        <f>VLOOKUP($A89,Privacy!$A$13:$E$97,5,0)&amp;""</f>
        <v>Explain why not</v>
      </c>
      <c r="F89" s="207"/>
      <c r="G89" s="196" t="str">
        <f>VLOOKUP($A89,Questions!$A$2:$X$333,21,0)&amp;""</f>
        <v>Yes</v>
      </c>
      <c r="H89" s="197"/>
      <c r="I89" s="198" t="str">
        <f>VLOOKUP($A89,Questions!$A$2:$X$333,23,0)&amp;""</f>
        <v>Minor Importance</v>
      </c>
      <c r="J89" s="197"/>
      <c r="K89" s="199" t="b">
        <f>FALSE()</f>
        <v>0</v>
      </c>
      <c r="L89" s="3"/>
    </row>
    <row r="90" spans="1:12" s="3" customFormat="1" ht="17.25" customHeight="1" x14ac:dyDescent="0.15">
      <c r="A90" s="32" t="str">
        <f>VLOOKUP(LEFT($A91,4),'Auto Responses'!$N$4:$O$38,2,0)&amp;""</f>
        <v xml:space="preserve"> International Privacy</v>
      </c>
      <c r="B90" s="41"/>
      <c r="C90" s="42"/>
      <c r="D90" s="42"/>
      <c r="E90" s="203"/>
      <c r="F90" s="246" t="s">
        <v>468</v>
      </c>
      <c r="G90" s="200" t="s">
        <v>463</v>
      </c>
      <c r="H90" s="200" t="s">
        <v>464</v>
      </c>
      <c r="I90" s="200" t="s">
        <v>465</v>
      </c>
      <c r="J90" s="200" t="s">
        <v>466</v>
      </c>
      <c r="K90" s="42"/>
    </row>
    <row r="91" spans="1:12" s="189" customFormat="1" ht="30" customHeight="1" x14ac:dyDescent="0.15">
      <c r="A91" s="36" t="s">
        <v>387</v>
      </c>
      <c r="B91" s="44" t="str">
        <f>VLOOKUP($A91,Questions!$A$2:$X$333,2,0)</f>
        <v>Will data be collected from or processed in or stored in the European Economic Area (EEA)?</v>
      </c>
      <c r="C91" s="198" t="str">
        <f>VLOOKUP($A91,Privacy!$A$13:$E$97,3,0)&amp;""</f>
        <v>Yes</v>
      </c>
      <c r="D91" s="70" t="str">
        <f>IF(LEFT(VLOOKUP($A91,Privacy!$A$13:$E$97,5,0),21)='Auto Responses'!$A$32,'Auto Responses'!$A$33,VLOOKUP($A91,Privacy!$A$13:$E$97,4,0))&amp;""</f>
        <v>License and telemetry data are collected/processed/stored in Germany (EEA).</v>
      </c>
      <c r="E91" s="204" t="str">
        <f>VLOOKUP($A91,Privacy!$A$13:$E$97,5,0)&amp;""</f>
        <v>Describe where and what activities will take place in the EEA.</v>
      </c>
      <c r="F91" s="207"/>
      <c r="G91" s="196" t="str">
        <f>VLOOKUP($A91,Questions!$A$2:$X$333,21,0)&amp;""</f>
        <v>No</v>
      </c>
      <c r="H91" s="197"/>
      <c r="I91" s="198" t="str">
        <f>VLOOKUP($A91,Questions!$A$2:$X$333,23,0)&amp;""</f>
        <v>Standard Importance</v>
      </c>
      <c r="J91" s="197"/>
      <c r="K91" s="199" t="b">
        <f>FALSE()</f>
        <v>0</v>
      </c>
      <c r="L91" s="3"/>
    </row>
    <row r="92" spans="1:12" s="189" customFormat="1" ht="30" customHeight="1" x14ac:dyDescent="0.15">
      <c r="A92" s="36" t="s">
        <v>389</v>
      </c>
      <c r="B92" s="44" t="str">
        <f>VLOOKUP($A92,Questions!$A$2:$X$333,2,0)</f>
        <v>Do you have a data protection officer (DPO)?</v>
      </c>
      <c r="C92" s="198" t="str">
        <f>VLOOKUP($A92,Privacy!$A$13:$E$97,3,0)&amp;""</f>
        <v>No</v>
      </c>
      <c r="D92" s="70" t="str">
        <f>IF(LEFT(VLOOKUP($A92,Privacy!$A$13:$E$97,5,0),21)='Auto Responses'!$A$32,'Auto Responses'!$A$33,VLOOKUP($A92,Privacy!$A$13:$E$97,4,0))&amp;""</f>
        <v/>
      </c>
      <c r="E92" s="204" t="str">
        <f>VLOOKUP($A92,Privacy!$A$13:$E$97,5,0)&amp;""</f>
        <v>Explain why not</v>
      </c>
      <c r="F92" s="207"/>
      <c r="G92" s="196" t="str">
        <f>VLOOKUP($A92,Questions!$A$2:$X$333,21,0)&amp;""</f>
        <v>Yes</v>
      </c>
      <c r="H92" s="197"/>
      <c r="I92" s="198" t="str">
        <f>VLOOKUP($A92,Questions!$A$2:$X$333,23,0)&amp;""</f>
        <v>Standard Importance</v>
      </c>
      <c r="J92" s="197"/>
      <c r="K92" s="199" t="b">
        <f>FALSE()</f>
        <v>0</v>
      </c>
      <c r="L92" s="3"/>
    </row>
    <row r="93" spans="1:12" s="189" customFormat="1" ht="30" customHeight="1" x14ac:dyDescent="0.15">
      <c r="A93" s="36" t="s">
        <v>390</v>
      </c>
      <c r="B93" s="44" t="str">
        <f>VLOOKUP($A93,Questions!$A$2:$X$333,2,0)</f>
        <v>Will you sign appropriate GDPR Standard Contractual Clauses (SCCs) with the institution?</v>
      </c>
      <c r="C93" s="198" t="str">
        <f>VLOOKUP($A93,Privacy!$A$13:$E$97,3,0)&amp;""</f>
        <v>Yes</v>
      </c>
      <c r="D93" s="70" t="str">
        <f>IF(LEFT(VLOOKUP($A93,Privacy!$A$13:$E$97,5,0),21)='Auto Responses'!$A$32,'Auto Responses'!$A$33,VLOOKUP($A93,Privacy!$A$13:$E$97,4,0))&amp;""</f>
        <v>SmartPLS GmbH is willing to sign GDPR Standard Contractual Clauses with an institution where required.</v>
      </c>
      <c r="E93" s="204" t="str">
        <f>VLOOKUP($A93,Privacy!$A$13:$E$97,5,0)&amp;""</f>
        <v/>
      </c>
      <c r="F93" s="207"/>
      <c r="G93" s="196" t="str">
        <f>VLOOKUP($A93,Questions!$A$2:$X$333,21,0)&amp;""</f>
        <v>Yes</v>
      </c>
      <c r="H93" s="197"/>
      <c r="I93" s="198" t="str">
        <f>VLOOKUP($A93,Questions!$A$2:$X$333,23,0)&amp;""</f>
        <v>Standard Importance</v>
      </c>
      <c r="J93" s="197"/>
      <c r="K93" s="199" t="b">
        <f>FALSE()</f>
        <v>0</v>
      </c>
      <c r="L93" s="3"/>
    </row>
    <row r="94" spans="1:12" s="189" customFormat="1" ht="30" customHeight="1" x14ac:dyDescent="0.15">
      <c r="A94" s="36" t="s">
        <v>392</v>
      </c>
      <c r="B94" s="44" t="str">
        <f>VLOOKUP($A94,Questions!$A$2:$X$333,2,0)</f>
        <v>Will data be collected from or processed in or stored in China?</v>
      </c>
      <c r="C94" s="198" t="str">
        <f>VLOOKUP($A94,Privacy!$A$13:$E$97,3,0)&amp;""</f>
        <v>No</v>
      </c>
      <c r="D94" s="70" t="str">
        <f>IF(LEFT(VLOOKUP($A94,Privacy!$A$13:$E$97,5,0),21)='Auto Responses'!$A$32,'Auto Responses'!$A$33,VLOOKUP($A94,Privacy!$A$13:$E$97,4,0))&amp;""</f>
        <v/>
      </c>
      <c r="E94" s="204" t="str">
        <f>VLOOKUP($A94,Privacy!$A$13:$E$97,5,0)&amp;""</f>
        <v>See PIPL Chapter 1 for definitions.</v>
      </c>
      <c r="F94" s="207"/>
      <c r="G94" s="196" t="str">
        <f>VLOOKUP($A94,Questions!$A$2:$X$333,21,0)&amp;""</f>
        <v>No</v>
      </c>
      <c r="H94" s="197"/>
      <c r="I94" s="198" t="str">
        <f>VLOOKUP($A94,Questions!$A$2:$X$333,23,0)&amp;""</f>
        <v>Standard Importance</v>
      </c>
      <c r="J94" s="197"/>
      <c r="K94" s="199" t="b">
        <f>FALSE()</f>
        <v>0</v>
      </c>
      <c r="L94" s="3"/>
    </row>
    <row r="95" spans="1:12" s="189" customFormat="1" ht="30" customHeight="1" x14ac:dyDescent="0.15">
      <c r="A95" s="36" t="s">
        <v>393</v>
      </c>
      <c r="B95" s="44" t="str">
        <f>VLOOKUP($A95,Questions!$A$2:$X$333,2,0)</f>
        <v>Do you comply with PIPL security, privacy, and data localization requirements?</v>
      </c>
      <c r="C95" s="198" t="str">
        <f>VLOOKUP($A95,Privacy!$A$13:$E$97,3,0)&amp;""</f>
        <v>N/A</v>
      </c>
      <c r="D95" s="70" t="str">
        <f>IF(LEFT(VLOOKUP($A95,Privacy!$A$13:$E$97,5,0),21)='Auto Responses'!$A$32,'Auto Responses'!$A$33,VLOOKUP($A95,Privacy!$A$13:$E$97,4,0))&amp;""</f>
        <v/>
      </c>
      <c r="E95" s="204" t="str">
        <f>VLOOKUP($A95,Privacy!$A$13:$E$97,5,0)&amp;""</f>
        <v>Please explain why this does not apply to your product or service.</v>
      </c>
      <c r="F95" s="207"/>
      <c r="G95" s="196" t="str">
        <f>VLOOKUP($A95,Questions!$A$2:$X$333,21,0)&amp;""</f>
        <v>Yes</v>
      </c>
      <c r="H95" s="197"/>
      <c r="I95" s="198" t="str">
        <f>VLOOKUP($A95,Questions!$A$2:$X$333,23,0)&amp;""</f>
        <v>Standard Importance</v>
      </c>
      <c r="J95" s="197"/>
      <c r="K95" s="199" t="b">
        <f>FALSE()</f>
        <v>0</v>
      </c>
      <c r="L95" s="3"/>
    </row>
    <row r="96" spans="1:12" s="3" customFormat="1" ht="17.25" customHeight="1" x14ac:dyDescent="0.15">
      <c r="A96" s="32" t="str">
        <f>VLOOKUP(LEFT($A97,4),'Auto Responses'!$N$4:$O$38,2,0)&amp;""</f>
        <v xml:space="preserve"> Data Privacy</v>
      </c>
      <c r="B96" s="41"/>
      <c r="C96" s="42"/>
      <c r="D96" s="42"/>
      <c r="E96" s="203"/>
      <c r="F96" s="246" t="s">
        <v>468</v>
      </c>
      <c r="G96" s="200" t="s">
        <v>463</v>
      </c>
      <c r="H96" s="200" t="s">
        <v>464</v>
      </c>
      <c r="I96" s="200" t="s">
        <v>465</v>
      </c>
      <c r="J96" s="200" t="s">
        <v>466</v>
      </c>
      <c r="K96" s="42"/>
    </row>
    <row r="97" spans="1:12" s="189" customFormat="1" ht="27" customHeight="1" x14ac:dyDescent="0.15">
      <c r="A97" s="36" t="s">
        <v>394</v>
      </c>
      <c r="B97" s="44" t="str">
        <f>VLOOKUP($A97,Questions!$A$2:$X$333,2,0)</f>
        <v>Have you performed a Data Privacy Impact Assessment for the solution/project?</v>
      </c>
      <c r="C97" s="198" t="str">
        <f>VLOOKUP($A97,Privacy!$A$13:$E$97,3,0)&amp;""</f>
        <v>No</v>
      </c>
      <c r="D97" s="70" t="str">
        <f>IF(LEFT(VLOOKUP($A97,Privacy!$A$13:$E$97,5,0),21)='Auto Responses'!$A$32,'Auto Responses'!$A$33,VLOOKUP($A97,Privacy!$A$13:$E$97,4,0))&amp;""</f>
        <v/>
      </c>
      <c r="E97" s="204" t="str">
        <f>VLOOKUP($A97,Privacy!$A$13:$E$97,5,0)&amp;""</f>
        <v>Provide timeline for this or reason not to perform.</v>
      </c>
      <c r="F97" s="207"/>
      <c r="G97" s="196" t="str">
        <f>VLOOKUP($A97,Questions!$A$2:$X$333,21,0)&amp;""</f>
        <v>Yes</v>
      </c>
      <c r="H97" s="197"/>
      <c r="I97" s="198" t="str">
        <f>VLOOKUP($A97,Questions!$A$2:$X$333,23,0)&amp;""</f>
        <v>Standard Importance</v>
      </c>
      <c r="J97" s="197"/>
      <c r="K97" s="199" t="b">
        <f>FALSE()</f>
        <v>0</v>
      </c>
      <c r="L97" s="3"/>
    </row>
    <row r="98" spans="1:12" s="189" customFormat="1" ht="54" customHeight="1" x14ac:dyDescent="0.15">
      <c r="A98" s="36" t="s">
        <v>395</v>
      </c>
      <c r="B98" s="44" t="str">
        <f>VLOOKUP($A98,Questions!$A$2:$X$333,2,0)</f>
        <v>Do you provide an end-user privacy notice about privacy policies and procedures that identify the purpose(s) for which personal information is collected, used, retained, and disclosed?</v>
      </c>
      <c r="C98" s="198" t="str">
        <f>VLOOKUP($A98,Privacy!$A$13:$E$97,3,0)&amp;""</f>
        <v>Yes</v>
      </c>
      <c r="D98" s="70" t="str">
        <f>IF(LEFT(VLOOKUP($A98,Privacy!$A$13:$E$97,5,0),21)='Auto Responses'!$A$32,'Auto Responses'!$A$33,VLOOKUP($A98,Privacy!$A$13:$E$97,4,0))&amp;""</f>
        <v>An end-user privacy notice is published on smartpls.com describing what personal data is collected and why.</v>
      </c>
      <c r="E98" s="204" t="str">
        <f>VLOOKUP($A98,Privacy!$A$13:$E$97,5,0)&amp;""</f>
        <v>Provide link or copy.</v>
      </c>
      <c r="F98" s="207"/>
      <c r="G98" s="196" t="str">
        <f>VLOOKUP($A98,Questions!$A$2:$X$333,21,0)&amp;""</f>
        <v>Yes</v>
      </c>
      <c r="H98" s="197"/>
      <c r="I98" s="198" t="str">
        <f>VLOOKUP($A98,Questions!$A$2:$X$333,23,0)&amp;""</f>
        <v>Standard Importance</v>
      </c>
      <c r="J98" s="197"/>
      <c r="K98" s="199" t="b">
        <f>FALSE()</f>
        <v>0</v>
      </c>
      <c r="L98" s="3"/>
    </row>
    <row r="99" spans="1:12" s="189" customFormat="1" ht="54" customHeight="1" x14ac:dyDescent="0.15">
      <c r="A99" s="36" t="s">
        <v>397</v>
      </c>
      <c r="B99" s="44" t="str">
        <f>VLOOKUP($A99,Questions!$A$2:$X$333,2,0)</f>
        <v>Do you describe the choices available to the individual and obtain implicit or explicit consent with respect to the collection, use, and disclosure of personal information?</v>
      </c>
      <c r="C99" s="198" t="str">
        <f>VLOOKUP($A99,Privacy!$A$13:$E$97,3,0)&amp;""</f>
        <v>Yes</v>
      </c>
      <c r="D99" s="70" t="str">
        <f>IF(LEFT(VLOOKUP($A99,Privacy!$A$13:$E$97,5,0),21)='Auto Responses'!$A$32,'Auto Responses'!$A$33,VLOOKUP($A99,Privacy!$A$13:$E$97,4,0))&amp;""</f>
        <v>The privacy notice and license-purchase process describe the choices available and the basis for collecting personal data.</v>
      </c>
      <c r="E99" s="204" t="str">
        <f>VLOOKUP($A99,Privacy!$A$13:$E$97,5,0)&amp;""</f>
        <v>Provide copy, link, or summary overview.</v>
      </c>
      <c r="F99" s="207"/>
      <c r="G99" s="196" t="str">
        <f>VLOOKUP($A99,Questions!$A$2:$X$333,21,0)&amp;""</f>
        <v>Yes</v>
      </c>
      <c r="H99" s="197"/>
      <c r="I99" s="198" t="str">
        <f>VLOOKUP($A99,Questions!$A$2:$X$333,23,0)&amp;""</f>
        <v>Standard Importance</v>
      </c>
      <c r="J99" s="197"/>
      <c r="K99" s="199" t="b">
        <f>FALSE()</f>
        <v>0</v>
      </c>
      <c r="L99" s="3"/>
    </row>
    <row r="100" spans="1:12" s="189" customFormat="1" ht="54" customHeight="1" x14ac:dyDescent="0.15">
      <c r="A100" s="36" t="s">
        <v>399</v>
      </c>
      <c r="B100" s="44" t="str">
        <f>VLOOKUP($A100,Questions!$A$2:$X$333,2,0)</f>
        <v>Do you collect personal information only for the purpose(s) identified in the agreement with an institution or, if there is none, the purpose(s) identified in the privacy notice?</v>
      </c>
      <c r="C100" s="198" t="str">
        <f>VLOOKUP($A100,Privacy!$A$13:$E$97,3,0)&amp;""</f>
        <v>Yes</v>
      </c>
      <c r="D100" s="70" t="str">
        <f>IF(LEFT(VLOOKUP($A100,Privacy!$A$13:$E$97,5,0),21)='Auto Responses'!$A$32,'Auto Responses'!$A$33,VLOOKUP($A100,Privacy!$A$13:$E$97,4,0))&amp;""</f>
        <v>Personal data is collected only for license administration, support, and (optionally) product-improvement telemetry, consistent with the published privacy notice.</v>
      </c>
      <c r="E100" s="204" t="str">
        <f>VLOOKUP($A100,Privacy!$A$13:$E$97,5,0)&amp;""</f>
        <v>Describe purposes not included in an agreement with the institution.</v>
      </c>
      <c r="F100" s="207"/>
      <c r="G100" s="196" t="str">
        <f>VLOOKUP($A100,Questions!$A$2:$X$333,21,0)&amp;""</f>
        <v>Yes</v>
      </c>
      <c r="H100" s="197"/>
      <c r="I100" s="198" t="str">
        <f>VLOOKUP($A100,Questions!$A$2:$X$333,23,0)&amp;""</f>
        <v>Standard Importance</v>
      </c>
      <c r="J100" s="197"/>
      <c r="K100" s="199" t="b">
        <f>FALSE()</f>
        <v>0</v>
      </c>
      <c r="L100" s="3"/>
    </row>
    <row r="101" spans="1:12" s="189" customFormat="1" ht="27" customHeight="1" x14ac:dyDescent="0.15">
      <c r="A101" s="36" t="s">
        <v>401</v>
      </c>
      <c r="B101" s="44" t="str">
        <f>VLOOKUP($A101,Questions!$A$2:$X$333,2,0)</f>
        <v>Do you have a documented list of personal data your service maintains?</v>
      </c>
      <c r="C101" s="198" t="str">
        <f>VLOOKUP($A101,Privacy!$A$13:$E$97,3,0)&amp;""</f>
        <v>No</v>
      </c>
      <c r="D101" s="70" t="str">
        <f>IF(LEFT(VLOOKUP($A101,Privacy!$A$13:$E$97,5,0),21)='Auto Responses'!$A$32,'Auto Responses'!$A$33,VLOOKUP($A101,Privacy!$A$13:$E$97,4,0))&amp;""</f>
        <v/>
      </c>
      <c r="E101" s="204" t="str">
        <f>VLOOKUP($A101,Privacy!$A$13:$E$97,5,0)&amp;""</f>
        <v>Explain why not</v>
      </c>
      <c r="F101" s="207"/>
      <c r="G101" s="196" t="str">
        <f>VLOOKUP($A101,Questions!$A$2:$X$333,21,0)&amp;""</f>
        <v>Yes</v>
      </c>
      <c r="H101" s="197"/>
      <c r="I101" s="198" t="str">
        <f>VLOOKUP($A101,Questions!$A$2:$X$333,23,0)&amp;""</f>
        <v>Standard Importance</v>
      </c>
      <c r="J101" s="197"/>
      <c r="K101" s="199" t="b">
        <f>FALSE()</f>
        <v>0</v>
      </c>
      <c r="L101" s="3"/>
    </row>
    <row r="102" spans="1:12" s="189" customFormat="1" ht="54" customHeight="1" x14ac:dyDescent="0.15">
      <c r="A102" s="36" t="s">
        <v>402</v>
      </c>
      <c r="B102" s="44" t="str">
        <f>VLOOKUP($A102,Questions!$A$2:$X$333,2,0)</f>
        <v>Do you retain personal information for only as long as necessary to fulfill the stated purpose(s) or as required by law or regulation and thereafter appropriately dispose of such information?</v>
      </c>
      <c r="C102" s="198" t="str">
        <f>VLOOKUP($A102,Privacy!$A$13:$E$97,3,0)&amp;""</f>
        <v>Yes</v>
      </c>
      <c r="D102" s="70" t="str">
        <f>IF(LEFT(VLOOKUP($A102,Privacy!$A$13:$E$97,5,0),21)='Auto Responses'!$A$32,'Auto Responses'!$A$33,VLOOKUP($A102,Privacy!$A$13:$E$97,4,0))&amp;""</f>
        <v>Personal data is retained only as long as needed to administer licenses/support or as required by law.</v>
      </c>
      <c r="E102" s="204" t="str">
        <f>VLOOKUP($A102,Privacy!$A$13:$E$97,5,0)&amp;""</f>
        <v/>
      </c>
      <c r="F102" s="207"/>
      <c r="G102" s="196" t="str">
        <f>VLOOKUP($A102,Questions!$A$2:$X$333,21,0)&amp;""</f>
        <v>Yes</v>
      </c>
      <c r="H102" s="197"/>
      <c r="I102" s="198" t="str">
        <f>VLOOKUP($A102,Questions!$A$2:$X$333,23,0)&amp;""</f>
        <v>Standard Importance</v>
      </c>
      <c r="J102" s="197"/>
      <c r="K102" s="199" t="b">
        <f>FALSE()</f>
        <v>0</v>
      </c>
      <c r="L102" s="3"/>
    </row>
    <row r="103" spans="1:12" s="189" customFormat="1" ht="135" customHeight="1" x14ac:dyDescent="0.15">
      <c r="A103" s="36" t="s">
        <v>404</v>
      </c>
      <c r="B103" s="44" t="str">
        <f>VLOOKUP($A103,Questions!$A$2:$X$333,2,0)</f>
        <v>Do you provide individuals with access to their personal information for review and update (i.e., data subject rights)?</v>
      </c>
      <c r="C103" s="198" t="str">
        <f>VLOOKUP($A103,Privacy!$A$13:$E$97,3,0)&amp;""</f>
        <v>Yes</v>
      </c>
      <c r="D103" s="70" t="str">
        <f>IF(LEFT(VLOOKUP($A103,Privacy!$A$13:$E$97,5,0),21)='Auto Responses'!$A$32,'Auto Responses'!$A$33,VLOOKUP($A103,Privacy!$A$13:$E$97,4,0))&amp;""</f>
        <v>Individuals may contact SmartPLS GmbH to review, correct, or request deletion of their personal data (data subject rights under GDPR).</v>
      </c>
      <c r="E103" s="204" t="str">
        <f>VLOOKUP($A103,Privacy!$A$13:$E$97,5,0)&amp;""</f>
        <v>Such processes would include descriptions of request processes individuals can follow to review their information and written processes a data subject may use to ask for changes or corrections to data held about them.</v>
      </c>
      <c r="F103" s="207"/>
      <c r="G103" s="196" t="str">
        <f>VLOOKUP($A103,Questions!$A$2:$X$333,21,0)&amp;""</f>
        <v>Yes</v>
      </c>
      <c r="H103" s="197"/>
      <c r="I103" s="198" t="str">
        <f>VLOOKUP($A103,Questions!$A$2:$X$333,23,0)&amp;""</f>
        <v>Standard Importance</v>
      </c>
      <c r="J103" s="197"/>
      <c r="K103" s="199" t="b">
        <f>FALSE()</f>
        <v>0</v>
      </c>
      <c r="L103" s="3"/>
    </row>
    <row r="104" spans="1:12" s="189" customFormat="1" ht="54" customHeight="1" x14ac:dyDescent="0.15">
      <c r="A104" s="36" t="s">
        <v>406</v>
      </c>
      <c r="B104" s="44" t="str">
        <f>VLOOKUP($A104,Questions!$A$2:$X$333,2,0)</f>
        <v>Do you disclose personal information to third parties only for the purpose(s) identified in the privacy notice or with the implicit or explicit consent of the individual?</v>
      </c>
      <c r="C104" s="198" t="str">
        <f>VLOOKUP($A104,Privacy!$A$13:$E$97,3,0)&amp;""</f>
        <v>Yes</v>
      </c>
      <c r="D104" s="70" t="str">
        <f>IF(LEFT(VLOOKUP($A104,Privacy!$A$13:$E$97,5,0),21)='Auto Responses'!$A$32,'Auto Responses'!$A$33,VLOOKUP($A104,Privacy!$A$13:$E$97,4,0))&amp;""</f>
        <v>Personal data is disclosed to third parties (e.g., our licensing, hosting, and payment providers) only as needed to deliver the service, consistent with the privacy notice.</v>
      </c>
      <c r="E104" s="204" t="str">
        <f>VLOOKUP($A104,Privacy!$A$13:$E$97,5,0)&amp;""</f>
        <v/>
      </c>
      <c r="F104" s="207"/>
      <c r="G104" s="196" t="str">
        <f>VLOOKUP($A104,Questions!$A$2:$X$333,21,0)&amp;""</f>
        <v>Yes</v>
      </c>
      <c r="H104" s="197"/>
      <c r="I104" s="198" t="str">
        <f>VLOOKUP($A104,Questions!$A$2:$X$333,23,0)&amp;""</f>
        <v>Standard Importance</v>
      </c>
      <c r="J104" s="197"/>
      <c r="K104" s="199" t="b">
        <f>FALSE()</f>
        <v>0</v>
      </c>
      <c r="L104" s="3"/>
    </row>
    <row r="105" spans="1:12" s="189" customFormat="1" ht="27" customHeight="1" x14ac:dyDescent="0.15">
      <c r="A105" s="36" t="s">
        <v>408</v>
      </c>
      <c r="B105" s="44" t="str">
        <f>VLOOKUP($A105,Questions!$A$2:$X$333,2,0)</f>
        <v>Do you protect personal information against unauthorized access (both physical and logical)?</v>
      </c>
      <c r="C105" s="198" t="str">
        <f>VLOOKUP($A105,Privacy!$A$13:$E$97,3,0)&amp;""</f>
        <v>Yes</v>
      </c>
      <c r="D105" s="70" t="str">
        <f>IF(LEFT(VLOOKUP($A105,Privacy!$A$13:$E$97,5,0),21)='Auto Responses'!$A$32,'Auto Responses'!$A$33,VLOOKUP($A105,Privacy!$A$13:$E$97,4,0))&amp;""</f>
        <v/>
      </c>
      <c r="E105" s="204" t="str">
        <f>VLOOKUP($A105,Privacy!$A$13:$E$97,5,0)&amp;""</f>
        <v/>
      </c>
      <c r="F105" s="207"/>
      <c r="G105" s="196" t="str">
        <f>VLOOKUP($A105,Questions!$A$2:$X$333,21,0)&amp;""</f>
        <v>Yes</v>
      </c>
      <c r="H105" s="197"/>
      <c r="I105" s="198" t="str">
        <f>VLOOKUP($A105,Questions!$A$2:$X$333,23,0)&amp;""</f>
        <v>Standard Importance</v>
      </c>
      <c r="J105" s="197"/>
      <c r="K105" s="199" t="b">
        <f>FALSE()</f>
        <v>0</v>
      </c>
      <c r="L105" s="3"/>
    </row>
    <row r="106" spans="1:12" s="189" customFormat="1" ht="40.5" customHeight="1" x14ac:dyDescent="0.15">
      <c r="A106" s="36" t="s">
        <v>409</v>
      </c>
      <c r="B106" s="44" t="str">
        <f>VLOOKUP($A106,Questions!$A$2:$X$333,2,0)</f>
        <v>Do you maintain accurate, complete, and relevant personal information for the purposes identified in the privacy notice?</v>
      </c>
      <c r="C106" s="198" t="str">
        <f>VLOOKUP($A106,Privacy!$A$13:$E$97,3,0)&amp;""</f>
        <v>Yes</v>
      </c>
      <c r="D106" s="70" t="str">
        <f>IF(LEFT(VLOOKUP($A106,Privacy!$A$13:$E$97,5,0),21)='Auto Responses'!$A$32,'Auto Responses'!$A$33,VLOOKUP($A106,Privacy!$A$13:$E$97,4,0))&amp;""</f>
        <v>License-administration records are kept accurate and up to date based on customer-provided information.</v>
      </c>
      <c r="E106" s="204" t="str">
        <f>VLOOKUP($A106,Privacy!$A$13:$E$97,5,0)&amp;""</f>
        <v/>
      </c>
      <c r="F106" s="207"/>
      <c r="G106" s="196" t="str">
        <f>VLOOKUP($A106,Questions!$A$2:$X$333,21,0)&amp;""</f>
        <v>Yes</v>
      </c>
      <c r="H106" s="197"/>
      <c r="I106" s="198" t="str">
        <f>VLOOKUP($A106,Questions!$A$2:$X$333,23,0)&amp;""</f>
        <v>Standard Importance</v>
      </c>
      <c r="J106" s="197"/>
      <c r="K106" s="199" t="b">
        <f>FALSE()</f>
        <v>0</v>
      </c>
      <c r="L106" s="3"/>
    </row>
    <row r="107" spans="1:12" s="189" customFormat="1" ht="27" customHeight="1" x14ac:dyDescent="0.15">
      <c r="A107" s="36" t="s">
        <v>411</v>
      </c>
      <c r="B107" s="44" t="str">
        <f>VLOOKUP($A107,Questions!$A$2:$X$333,2,0)</f>
        <v>Do you have procedures to address privacy-related noncompliance complaints and disputes?</v>
      </c>
      <c r="C107" s="198" t="str">
        <f>VLOOKUP($A107,Privacy!$A$13:$E$97,3,0)&amp;""</f>
        <v>No</v>
      </c>
      <c r="D107" s="70" t="str">
        <f>IF(LEFT(VLOOKUP($A107,Privacy!$A$13:$E$97,5,0),21)='Auto Responses'!$A$32,'Auto Responses'!$A$33,VLOOKUP($A107,Privacy!$A$13:$E$97,4,0))&amp;""</f>
        <v/>
      </c>
      <c r="E107" s="204" t="str">
        <f>VLOOKUP($A107,Privacy!$A$13:$E$97,5,0)&amp;""</f>
        <v/>
      </c>
      <c r="F107" s="207"/>
      <c r="G107" s="196" t="str">
        <f>VLOOKUP($A107,Questions!$A$2:$X$333,21,0)&amp;""</f>
        <v>Yes</v>
      </c>
      <c r="H107" s="197"/>
      <c r="I107" s="198" t="str">
        <f>VLOOKUP($A107,Questions!$A$2:$X$333,23,0)&amp;""</f>
        <v>Standard Importance</v>
      </c>
      <c r="J107" s="197"/>
      <c r="K107" s="199" t="b">
        <f>FALSE()</f>
        <v>0</v>
      </c>
      <c r="L107" s="3"/>
    </row>
    <row r="108" spans="1:12" s="189" customFormat="1" ht="27" customHeight="1" x14ac:dyDescent="0.15">
      <c r="A108" s="36" t="s">
        <v>412</v>
      </c>
      <c r="B108" s="44" t="str">
        <f>VLOOKUP($A108,Questions!$A$2:$X$333,2,0)</f>
        <v>Do you "anonymize," "de-identify," or otherwise mask personal data?</v>
      </c>
      <c r="C108" s="198" t="str">
        <f>VLOOKUP($A108,Privacy!$A$13:$E$97,3,0)&amp;""</f>
        <v>No</v>
      </c>
      <c r="D108" s="70" t="str">
        <f>IF(LEFT(VLOOKUP($A108,Privacy!$A$13:$E$97,5,0),21)='Auto Responses'!$A$32,'Auto Responses'!$A$33,VLOOKUP($A108,Privacy!$A$13:$E$97,4,0))&amp;""</f>
        <v/>
      </c>
      <c r="E108" s="204" t="str">
        <f>VLOOKUP($A108,Privacy!$A$13:$E$97,5,0)&amp;""</f>
        <v/>
      </c>
      <c r="F108" s="207"/>
      <c r="G108" s="196" t="str">
        <f>VLOOKUP($A108,Questions!$A$2:$X$333,21,0)&amp;""</f>
        <v>Yes</v>
      </c>
      <c r="H108" s="197"/>
      <c r="I108" s="198" t="str">
        <f>VLOOKUP($A108,Questions!$A$2:$X$333,23,0)&amp;""</f>
        <v>Standard Importance</v>
      </c>
      <c r="J108" s="197"/>
      <c r="K108" s="199" t="b">
        <f>FALSE()</f>
        <v>0</v>
      </c>
      <c r="L108" s="3"/>
    </row>
    <row r="109" spans="1:12" s="189" customFormat="1" ht="94.5" customHeight="1" x14ac:dyDescent="0.15">
      <c r="A109" s="36" t="s">
        <v>413</v>
      </c>
      <c r="B109" s="44"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198" t="str">
        <f>VLOOKUP($A109,Privacy!$A$13:$E$97,3,0)&amp;""</f>
        <v>No</v>
      </c>
      <c r="D109" s="70" t="str">
        <f>IF(LEFT(VLOOKUP($A109,Privacy!$A$13:$E$97,5,0),21)='Auto Responses'!$A$32,'Auto Responses'!$A$33,VLOOKUP($A109,Privacy!$A$13:$E$97,4,0))&amp;""</f>
        <v/>
      </c>
      <c r="E109" s="204" t="str">
        <f>VLOOKUP($A109,Privacy!$A$13:$E$97,5,0)&amp;""</f>
        <v/>
      </c>
      <c r="F109" s="207"/>
      <c r="G109" s="196" t="str">
        <f>VLOOKUP($A109,Questions!$A$2:$X$333,21,0)&amp;""</f>
        <v>No</v>
      </c>
      <c r="H109" s="197"/>
      <c r="I109" s="198" t="str">
        <f>VLOOKUP($A109,Questions!$A$2:$X$333,23,0)&amp;""</f>
        <v>Standard Importance</v>
      </c>
      <c r="J109" s="197"/>
      <c r="K109" s="199" t="b">
        <f>FALSE()</f>
        <v>0</v>
      </c>
      <c r="L109" s="3"/>
    </row>
    <row r="110" spans="1:12" s="189" customFormat="1" ht="120" customHeight="1" x14ac:dyDescent="0.15">
      <c r="A110" s="36" t="s">
        <v>414</v>
      </c>
      <c r="B110" s="44" t="str">
        <f>VLOOKUP($A110,Questions!$A$2:$X$333,2,0)</f>
        <v>Do you certify stop-processing requests, including any data that is processed by a third party on your behalf?</v>
      </c>
      <c r="C110" s="198" t="str">
        <f>VLOOKUP($A110,Privacy!$A$13:$E$97,3,0)&amp;""</f>
        <v>Yes</v>
      </c>
      <c r="D110" s="70" t="str">
        <f>IF(LEFT(VLOOKUP($A110,Privacy!$A$13:$E$97,5,0),21)='Auto Responses'!$A$32,'Auto Responses'!$A$33,VLOOKUP($A110,Privacy!$A$13:$E$97,4,0))&amp;""</f>
        <v>SmartPLS GmbH can request deletion of license-administration data from its processor (Nalpeiron) upon a valid stop-processing request.</v>
      </c>
      <c r="E110" s="204" t="str">
        <f>VLOOKUP($A110,Privacy!$A$13:$E$97,5,0)&amp;""</f>
        <v>Briefly outline relevant processes.</v>
      </c>
      <c r="F110" s="207"/>
      <c r="G110" s="196" t="str">
        <f>VLOOKUP($A110,Questions!$A$2:$X$333,21,0)&amp;""</f>
        <v>Yes</v>
      </c>
      <c r="H110" s="197"/>
      <c r="I110" s="198" t="str">
        <f>VLOOKUP($A110,Questions!$A$2:$X$333,23,0)&amp;""</f>
        <v>Standard Importance</v>
      </c>
      <c r="J110" s="197"/>
      <c r="K110" s="199" t="b">
        <f>FALSE()</f>
        <v>0</v>
      </c>
      <c r="L110" s="3"/>
    </row>
    <row r="111" spans="1:12" s="189" customFormat="1" ht="27" customHeight="1" x14ac:dyDescent="0.15">
      <c r="A111" s="36" t="s">
        <v>416</v>
      </c>
      <c r="B111" s="44" t="str">
        <f>VLOOKUP($A111,Questions!$A$2:$X$333,2,0)</f>
        <v>Do you have a process to review code for ethical considerations?</v>
      </c>
      <c r="C111" s="198" t="str">
        <f>VLOOKUP($A111,Privacy!$A$13:$E$97,3,0)&amp;""</f>
        <v>No</v>
      </c>
      <c r="D111" s="70" t="str">
        <f>IF(LEFT(VLOOKUP($A111,Privacy!$A$13:$E$97,5,0),21)='Auto Responses'!$A$32,'Auto Responses'!$A$33,VLOOKUP($A111,Privacy!$A$13:$E$97,4,0))&amp;""</f>
        <v/>
      </c>
      <c r="E111" s="204" t="str">
        <f>VLOOKUP($A111,Privacy!$A$13:$E$97,5,0)&amp;""</f>
        <v/>
      </c>
      <c r="F111" s="207"/>
      <c r="G111" s="196" t="str">
        <f>VLOOKUP($A111,Questions!$A$2:$X$333,21,0)&amp;""</f>
        <v>Yes</v>
      </c>
      <c r="H111" s="197"/>
      <c r="I111" s="198" t="str">
        <f>VLOOKUP($A111,Questions!$A$2:$X$333,23,0)&amp;""</f>
        <v>Standard Importance</v>
      </c>
      <c r="J111" s="197"/>
      <c r="K111" s="199" t="b">
        <f>FALSE()</f>
        <v>0</v>
      </c>
      <c r="L111" s="3"/>
    </row>
    <row r="112" spans="1:12" s="3" customFormat="1" ht="17.25" customHeight="1" x14ac:dyDescent="0.15">
      <c r="A112" s="32" t="str">
        <f>VLOOKUP(LEFT($A113,4),'Auto Responses'!$N$4:$O$38,2,0)&amp;""</f>
        <v xml:space="preserve"> Privacy and AI</v>
      </c>
      <c r="B112" s="41"/>
      <c r="C112" s="42"/>
      <c r="D112" s="42"/>
      <c r="E112" s="203"/>
      <c r="F112" s="246" t="s">
        <v>468</v>
      </c>
      <c r="G112" s="200" t="s">
        <v>463</v>
      </c>
      <c r="H112" s="200" t="s">
        <v>464</v>
      </c>
      <c r="I112" s="200" t="s">
        <v>465</v>
      </c>
      <c r="J112" s="200" t="s">
        <v>466</v>
      </c>
      <c r="K112" s="42"/>
    </row>
    <row r="113" spans="1:12" s="189" customFormat="1" ht="27" customHeight="1" x14ac:dyDescent="0.15">
      <c r="A113" s="36" t="s">
        <v>417</v>
      </c>
      <c r="B113" s="44" t="str">
        <f>VLOOKUP($A113,Questions!$A$2:$X$333,2,0)</f>
        <v>Does your service use AI for the processing of institutional data?</v>
      </c>
      <c r="C113" s="198" t="str">
        <f>VLOOKUP($A113,Privacy!$A$13:$E$97,3,0)&amp;""</f>
        <v>N/A</v>
      </c>
      <c r="D113" s="70" t="str">
        <f>IF(LEFT(VLOOKUP($A113,Privacy!$A$13:$E$97,5,0),21)='Auto Responses'!$A$32,'Auto Responses'!$A$33,VLOOKUP($A113,Privacy!$A$13:$E$97,4,0))&amp;""</f>
        <v>This question does not apply.</v>
      </c>
      <c r="E113" s="204" t="str">
        <f>VLOOKUP($A113,Privacy!$A$13:$E$97,5,0)&amp;""</f>
        <v>Based on the response to REQU-04 on the "START HERE" tab, this question does not apply to this product or service.</v>
      </c>
      <c r="F113" s="207"/>
      <c r="G113" s="196" t="str">
        <f>VLOOKUP($A113,Questions!$A$2:$X$333,21,0)&amp;""</f>
        <v>No</v>
      </c>
      <c r="H113" s="197"/>
      <c r="I113" s="198" t="str">
        <f>VLOOKUP($A113,Questions!$A$2:$X$333,23,0)&amp;""</f>
        <v>Standard Importance</v>
      </c>
      <c r="J113" s="197"/>
      <c r="K113" s="199" t="b">
        <f>FALSE()</f>
        <v>0</v>
      </c>
      <c r="L113" s="3"/>
    </row>
    <row r="114" spans="1:12" s="189" customFormat="1" ht="15" customHeight="1" x14ac:dyDescent="0.15">
      <c r="A114" s="36" t="s">
        <v>418</v>
      </c>
      <c r="B114" s="44" t="str">
        <f>VLOOKUP($A114,Questions!$A$2:$X$333,2,0)</f>
        <v>Is any institutional data retained in AI processing?*</v>
      </c>
      <c r="C114" s="198" t="str">
        <f>VLOOKUP($A114,Privacy!$A$13:$E$97,3,0)&amp;""</f>
        <v>N/A</v>
      </c>
      <c r="D114" s="70" t="str">
        <f>IF(LEFT(VLOOKUP($A114,Privacy!$A$13:$E$97,5,0),21)='Auto Responses'!$A$32,'Auto Responses'!$A$33,VLOOKUP($A114,Privacy!$A$13:$E$97,4,0))&amp;""</f>
        <v>This question does not apply.</v>
      </c>
      <c r="E114" s="204" t="str">
        <f>VLOOKUP($A114,Privacy!$A$13:$E$97,5,0)&amp;""</f>
        <v>Based on the response to REQU-04 on the "START HERE" tab, this question does not apply to this product or service.</v>
      </c>
      <c r="F114" s="207"/>
      <c r="G114" s="196" t="str">
        <f>VLOOKUP($A114,Questions!$A$2:$X$333,21,0)&amp;""</f>
        <v>No</v>
      </c>
      <c r="H114" s="197"/>
      <c r="I114" s="198" t="str">
        <f>VLOOKUP($A114,Questions!$A$2:$X$333,23,0)&amp;""</f>
        <v>Critical Importance</v>
      </c>
      <c r="J114" s="197"/>
      <c r="K114" s="199" t="b">
        <f>FALSE()</f>
        <v>0</v>
      </c>
      <c r="L114" s="3"/>
    </row>
    <row r="115" spans="1:12" s="189" customFormat="1" ht="40.5" customHeight="1" x14ac:dyDescent="0.15">
      <c r="A115" s="36" t="s">
        <v>419</v>
      </c>
      <c r="B115" s="44" t="str">
        <f>VLOOKUP($A115,Questions!$A$2:$X$333,2,0)</f>
        <v>Do you have agreements in place with third parties or subprocessors regarding the protection of customer data and use of AI?*</v>
      </c>
      <c r="C115" s="198" t="str">
        <f>VLOOKUP($A115,Privacy!$A$13:$E$97,3,0)&amp;""</f>
        <v>N/A</v>
      </c>
      <c r="D115" s="70" t="str">
        <f>IF(LEFT(VLOOKUP($A115,Privacy!$A$13:$E$97,5,0),21)='Auto Responses'!$A$32,'Auto Responses'!$A$33,VLOOKUP($A115,Privacy!$A$13:$E$97,4,0))&amp;""</f>
        <v>This question does not apply.</v>
      </c>
      <c r="E115" s="204" t="str">
        <f>VLOOKUP($A115,Privacy!$A$13:$E$97,5,0)&amp;""</f>
        <v>Based on the response to REQU-04 on the "START HERE" tab, this question does not apply to this product or service.</v>
      </c>
      <c r="F115" s="207"/>
      <c r="G115" s="196" t="str">
        <f>VLOOKUP($A115,Questions!$A$2:$X$333,21,0)&amp;""</f>
        <v>Yes</v>
      </c>
      <c r="H115" s="197"/>
      <c r="I115" s="198" t="str">
        <f>VLOOKUP($A115,Questions!$A$2:$X$333,23,0)&amp;""</f>
        <v>Critical Importance</v>
      </c>
      <c r="J115" s="197"/>
      <c r="K115" s="199" t="b">
        <f>FALSE()</f>
        <v>0</v>
      </c>
      <c r="L115" s="3"/>
    </row>
    <row r="116" spans="1:12" s="189" customFormat="1" ht="27" customHeight="1" x14ac:dyDescent="0.15">
      <c r="A116" s="36" t="s">
        <v>420</v>
      </c>
      <c r="B116" s="44" t="str">
        <f>VLOOKUP($A116,Questions!$A$2:$X$333,2,0)</f>
        <v>Will institutional data be processed through a third party or subprocessor that also uses AI?</v>
      </c>
      <c r="C116" s="198" t="str">
        <f>VLOOKUP($A116,Privacy!$A$13:$E$97,3,0)&amp;""</f>
        <v>N/A</v>
      </c>
      <c r="D116" s="70" t="str">
        <f>IF(LEFT(VLOOKUP($A116,Privacy!$A$13:$E$97,5,0),21)='Auto Responses'!$A$32,'Auto Responses'!$A$33,VLOOKUP($A116,Privacy!$A$13:$E$97,4,0))&amp;""</f>
        <v>This question does not apply.</v>
      </c>
      <c r="E116" s="204" t="str">
        <f>VLOOKUP($A116,Privacy!$A$13:$E$97,5,0)&amp;""</f>
        <v>Based on the response to REQU-04 on the "START HERE" tab, this question does not apply to this product or service.</v>
      </c>
      <c r="F116" s="207"/>
      <c r="G116" s="196" t="str">
        <f>VLOOKUP($A116,Questions!$A$2:$X$333,21,0)&amp;""</f>
        <v>No</v>
      </c>
      <c r="H116" s="197"/>
      <c r="I116" s="198" t="str">
        <f>VLOOKUP($A116,Questions!$A$2:$X$333,23,0)&amp;""</f>
        <v>Standard Importance</v>
      </c>
      <c r="J116" s="197"/>
      <c r="K116" s="199" t="b">
        <f>FALSE()</f>
        <v>0</v>
      </c>
      <c r="L116" s="3"/>
    </row>
    <row r="117" spans="1:12" s="189" customFormat="1" ht="27" customHeight="1" x14ac:dyDescent="0.15">
      <c r="A117" s="36" t="s">
        <v>421</v>
      </c>
      <c r="B117" s="44" t="str">
        <f>VLOOKUP($A117,Questions!$A$2:$X$333,2,0)</f>
        <v>Is AI processing limited to fully licensed commercial enterprise AI services?</v>
      </c>
      <c r="C117" s="198" t="str">
        <f>VLOOKUP($A117,Privacy!$A$13:$E$97,3,0)&amp;""</f>
        <v>N/A</v>
      </c>
      <c r="D117" s="70" t="str">
        <f>IF(LEFT(VLOOKUP($A117,Privacy!$A$13:$E$97,5,0),21)='Auto Responses'!$A$32,'Auto Responses'!$A$33,VLOOKUP($A117,Privacy!$A$13:$E$97,4,0))&amp;""</f>
        <v>This question does not apply.</v>
      </c>
      <c r="E117" s="204" t="str">
        <f>VLOOKUP($A117,Privacy!$A$13:$E$97,5,0)&amp;""</f>
        <v>Based on the response to REQU-04 on the "START HERE" tab, this question does not apply to this product or service.</v>
      </c>
      <c r="F117" s="207"/>
      <c r="G117" s="196" t="str">
        <f>VLOOKUP($A117,Questions!$A$2:$X$333,21,0)&amp;""</f>
        <v>Yes</v>
      </c>
      <c r="H117" s="197"/>
      <c r="I117" s="198" t="str">
        <f>VLOOKUP($A117,Questions!$A$2:$X$333,23,0)&amp;""</f>
        <v>Minor Importance</v>
      </c>
      <c r="J117" s="197"/>
      <c r="K117" s="199" t="b">
        <f>FALSE()</f>
        <v>0</v>
      </c>
      <c r="L117" s="3"/>
    </row>
    <row r="118" spans="1:12" s="189" customFormat="1" ht="135" customHeight="1" x14ac:dyDescent="0.15">
      <c r="A118" s="36" t="s">
        <v>422</v>
      </c>
      <c r="B118" s="44" t="str">
        <f>VLOOKUP($A118,Questions!$A$2:$X$333,2,0)</f>
        <v>Will institutional data be used or processed by any shared AI services?</v>
      </c>
      <c r="C118" s="198" t="str">
        <f>VLOOKUP($A118,Privacy!$A$13:$E$97,3,0)&amp;""</f>
        <v>N/A</v>
      </c>
      <c r="D118" s="70" t="str">
        <f>IF(LEFT(VLOOKUP($A118,Privacy!$A$13:$E$97,5,0),21)='Auto Responses'!$A$32,'Auto Responses'!$A$33,VLOOKUP($A118,Privacy!$A$13:$E$97,4,0))&amp;""</f>
        <v>This question does not apply.</v>
      </c>
      <c r="E118" s="204" t="str">
        <f>VLOOKUP($A118,Privacy!$A$13:$E$97,5,0)&amp;""</f>
        <v>Based on the response to REQU-04 on the "START HERE" tab, this question does not apply to this product or service.</v>
      </c>
      <c r="F118" s="207"/>
      <c r="G118" s="196" t="str">
        <f>VLOOKUP($A118,Questions!$A$2:$X$333,21,0)&amp;""</f>
        <v>No</v>
      </c>
      <c r="H118" s="197"/>
      <c r="I118" s="198" t="str">
        <f>VLOOKUP($A118,Questions!$A$2:$X$333,23,0)&amp;""</f>
        <v>Minor Importance</v>
      </c>
      <c r="J118" s="197"/>
      <c r="K118" s="199" t="b">
        <f>FALSE()</f>
        <v>0</v>
      </c>
      <c r="L118" s="3"/>
    </row>
    <row r="119" spans="1:12" s="189" customFormat="1" ht="40.5" customHeight="1" x14ac:dyDescent="0.15">
      <c r="A119" s="36" t="s">
        <v>423</v>
      </c>
      <c r="B119" s="44" t="str">
        <f>VLOOKUP($A119,Questions!$A$2:$X$333,2,0)</f>
        <v>Do you have safeguards in place to protect institutional data and data privacy from unintended AI queries or processing?</v>
      </c>
      <c r="C119" s="198" t="str">
        <f>VLOOKUP($A119,Privacy!$A$13:$E$97,3,0)&amp;""</f>
        <v>N/A</v>
      </c>
      <c r="D119" s="70" t="str">
        <f>IF(LEFT(VLOOKUP($A119,Privacy!$A$13:$E$97,5,0),21)='Auto Responses'!$A$32,'Auto Responses'!$A$33,VLOOKUP($A119,Privacy!$A$13:$E$97,4,0))&amp;""</f>
        <v>This question does not apply.</v>
      </c>
      <c r="E119" s="204" t="str">
        <f>VLOOKUP($A119,Privacy!$A$13:$E$97,5,0)&amp;""</f>
        <v>Based on the response to REQU-04 on the "START HERE" tab, this question does not apply to this product or service.</v>
      </c>
      <c r="F119" s="207"/>
      <c r="G119" s="196" t="str">
        <f>VLOOKUP($A119,Questions!$A$2:$X$333,21,0)&amp;""</f>
        <v>Yes</v>
      </c>
      <c r="H119" s="197"/>
      <c r="I119" s="198" t="str">
        <f>VLOOKUP($A119,Questions!$A$2:$X$333,23,0)&amp;""</f>
        <v>Minor Importance</v>
      </c>
      <c r="J119" s="197"/>
      <c r="K119" s="199" t="b">
        <f>FALSE()</f>
        <v>0</v>
      </c>
      <c r="L119" s="3"/>
    </row>
    <row r="120" spans="1:12" s="189" customFormat="1" ht="27" customHeight="1" x14ac:dyDescent="0.15">
      <c r="A120" s="36" t="s">
        <v>424</v>
      </c>
      <c r="B120" s="44" t="str">
        <f>VLOOKUP($A120,Questions!$A$2:$X$333,2,0)</f>
        <v>Do you provide choice to the user to opt out of AI use?</v>
      </c>
      <c r="C120" s="198" t="str">
        <f>VLOOKUP($A120,Privacy!$A$13:$E$97,3,0)&amp;""</f>
        <v>N/A</v>
      </c>
      <c r="D120" s="70" t="str">
        <f>IF(LEFT(VLOOKUP($A120,Privacy!$A$13:$E$97,5,0),21)='Auto Responses'!$A$32,'Auto Responses'!$A$33,VLOOKUP($A120,Privacy!$A$13:$E$97,4,0))&amp;""</f>
        <v>This question does not apply.</v>
      </c>
      <c r="E120" s="204" t="str">
        <f>VLOOKUP($A120,Privacy!$A$13:$E$97,5,0)&amp;""</f>
        <v>Based on the response to REQU-04 on the "START HERE" tab, this question does not apply to this product or service.</v>
      </c>
      <c r="F120" s="207"/>
      <c r="G120" s="196" t="str">
        <f>VLOOKUP($A120,Questions!$A$2:$X$333,21,0)&amp;""</f>
        <v>Yes</v>
      </c>
      <c r="H120" s="197"/>
      <c r="I120" s="198" t="str">
        <f>VLOOKUP($A120,Questions!$A$2:$X$333,23,0)&amp;""</f>
        <v>Minor Importance</v>
      </c>
      <c r="J120" s="197"/>
      <c r="K120" s="199" t="b">
        <f>FALSE()</f>
        <v>0</v>
      </c>
      <c r="L120" s="3"/>
    </row>
    <row r="121" spans="1:12" ht="15" customHeight="1" x14ac:dyDescent="0.2"/>
    <row r="122" spans="1:12" ht="15" customHeight="1" x14ac:dyDescent="0.2"/>
    <row r="123" spans="1:12" s="3" customFormat="1" ht="18" customHeight="1" x14ac:dyDescent="0.15">
      <c r="A123" s="247" t="s">
        <v>496</v>
      </c>
      <c r="B123" s="248"/>
      <c r="C123" s="249"/>
      <c r="D123" s="249"/>
      <c r="E123" s="249"/>
      <c r="F123" s="250"/>
      <c r="G123" s="249"/>
      <c r="H123" s="249"/>
      <c r="I123" s="249"/>
      <c r="J123" s="249"/>
      <c r="K123" s="249"/>
    </row>
    <row r="124" spans="1:12" s="189" customFormat="1" ht="30" customHeight="1" x14ac:dyDescent="0.15">
      <c r="A124" s="180" t="s">
        <v>460</v>
      </c>
      <c r="B124" s="181" t="s">
        <v>461</v>
      </c>
      <c r="C124" s="181" t="s">
        <v>495</v>
      </c>
      <c r="D124" s="182" t="s">
        <v>22</v>
      </c>
      <c r="E124" s="181" t="s">
        <v>23</v>
      </c>
      <c r="F124" s="53" t="s">
        <v>24</v>
      </c>
      <c r="G124" s="185" t="s">
        <v>463</v>
      </c>
      <c r="H124" s="186" t="s">
        <v>464</v>
      </c>
      <c r="I124" s="186" t="s">
        <v>465</v>
      </c>
      <c r="J124" s="187" t="s">
        <v>466</v>
      </c>
      <c r="K124" s="188" t="s">
        <v>467</v>
      </c>
      <c r="L124" s="3"/>
    </row>
    <row r="125" spans="1:12" s="3" customFormat="1" ht="17.25" customHeight="1" x14ac:dyDescent="0.15">
      <c r="A125" s="32" t="str">
        <f>VLOOKUP(LEFT($A126,4),'Auto Responses'!$N$4:$O$38,2,0)&amp;""</f>
        <v xml:space="preserve"> Company Information</v>
      </c>
      <c r="B125" s="41"/>
      <c r="C125" s="42"/>
      <c r="D125" s="42"/>
      <c r="E125" s="42"/>
      <c r="F125" s="246" t="s">
        <v>468</v>
      </c>
      <c r="G125" s="42"/>
      <c r="H125" s="42"/>
      <c r="I125" s="42"/>
      <c r="J125" s="42"/>
      <c r="K125" s="42"/>
    </row>
    <row r="126" spans="1:12" s="189" customFormat="1" ht="40.5" customHeight="1" x14ac:dyDescent="0.2">
      <c r="A126" s="36" t="s">
        <v>25</v>
      </c>
      <c r="B126" s="44" t="str">
        <f>VLOOKUP($A126,Questions!$A$2:$X$333,2,0)</f>
        <v>Do you have a dedicated software and system development team(s) (e.g., customer support, implementation, product management, etc.)?*</v>
      </c>
      <c r="C126" s="198" t="str">
        <f>VLOOKUP($A126,'Institution Evaluation'!$A$56:$K$345,3,0)&amp;""</f>
        <v>No</v>
      </c>
      <c r="D126" s="198" t="str">
        <f>VLOOKUP($A126,'Institution Evaluation'!$A$56:$K$345,4,0)&amp;""</f>
        <v/>
      </c>
      <c r="E126" s="204" t="str">
        <f>VLOOKUP($A126,'Institution Evaluation'!$A$56:$K$345,5,0)&amp;""</f>
        <v>Describe any plans to create a dedicated software and system development team.</v>
      </c>
      <c r="F126" s="207" t="str">
        <f>VLOOKUP($A126,'Institution Evaluation'!$A$56:$K$345,6,0)&amp;""</f>
        <v/>
      </c>
      <c r="G126" s="196" t="str">
        <f>VLOOKUP($A126,'Institution Evaluation'!$A$56:$K$345,7,0)&amp;""</f>
        <v>Yes</v>
      </c>
      <c r="H126" s="197" t="str">
        <f>VLOOKUP($A126,'Institution Evaluation'!$A$56:$K$345,8,0)&amp;""</f>
        <v/>
      </c>
      <c r="I126" s="198" t="str">
        <f>VLOOKUP($A126,'Institution Evaluation'!$A$56:$K$345,9,0)&amp;""</f>
        <v>Standard Importance</v>
      </c>
      <c r="J126" s="251" t="str">
        <f>VLOOKUP($A126,'Institution Evaluation'!$A$56:$K$345,10,0)&amp;""</f>
        <v/>
      </c>
      <c r="K126" s="199" t="str">
        <f>IF(VLOOKUP($A126,'Institution Evaluation'!$A$56:$K$345,10,0)=TRUE(),'Auto Responses'!$J$3,"")</f>
        <v/>
      </c>
      <c r="L126" s="199" t="str">
        <f>IF(VLOOKUP($A126,'Institution Evaluation'!$A$56:$K$345,10,0)=TRUE(),'Auto Responses'!$J$3,"")</f>
        <v/>
      </c>
    </row>
    <row r="127" spans="1:12" ht="45" customHeight="1" x14ac:dyDescent="0.2">
      <c r="A127" s="36" t="s">
        <v>27</v>
      </c>
      <c r="B127" s="44" t="str">
        <f>VLOOKUP($A127,Questions!$A$2:$X$333,2,0)</f>
        <v>Describe your organization’s business background and ownership structure, including all parent and subsidiary relationships.</v>
      </c>
      <c r="C127" s="198" t="str">
        <f>VLOOKUP($A127,'Institution Evaluation'!$A$56:$K$345,3,0)&amp;""</f>
        <v>SmartPLS GmbH is a privately held, founder-owned German Gesellschaft mit beschränkter Haftung (GmbH), headquartered in Bönningstedt, Germany. It has three shareholders, who are also its only personnel (two based in Germany, one in Norway). SmartPLS GmbH has no parent company and no subsidiaries.</v>
      </c>
      <c r="D127" s="198" t="str">
        <f>VLOOKUP($A127,'Institution Evaluation'!$A$56:$K$345,4,0)&amp;""</f>
        <v/>
      </c>
      <c r="E127" s="204" t="str">
        <f>VLOOKUP($A127,'Institution Evaluation'!$A$56:$K$345,5,0)&amp;""</f>
        <v>Include circumstances that may involve offshoring or multinational agreements.</v>
      </c>
      <c r="F127" s="207" t="str">
        <f>VLOOKUP($A127,'Institution Evaluation'!$A$56:$K$345,6,0)&amp;""</f>
        <v/>
      </c>
      <c r="G127" s="196" t="str">
        <f>VLOOKUP($A127,'Institution Evaluation'!$A$56:$K$345,7,0)&amp;""</f>
        <v>Not scored</v>
      </c>
      <c r="H127" s="197" t="str">
        <f>VLOOKUP($A127,'Institution Evaluation'!$A$56:$K$345,8,0)&amp;""</f>
        <v/>
      </c>
      <c r="I127" s="198" t="str">
        <f>VLOOKUP($A127,'Institution Evaluation'!$A$56:$K$345,9,0)&amp;""</f>
        <v/>
      </c>
      <c r="J127" s="251" t="str">
        <f>VLOOKUP($A127,'Institution Evaluation'!$A$56:$K$345,10,0)&amp;""</f>
        <v/>
      </c>
      <c r="K127" s="199" t="str">
        <f>IF(VLOOKUP($A127,'Institution Evaluation'!$A$56:$K$345,10,0)=TRUE(),'Auto Responses'!$J$3,"")</f>
        <v/>
      </c>
    </row>
    <row r="128" spans="1:12" ht="27" customHeight="1" x14ac:dyDescent="0.2">
      <c r="A128" s="36" t="s">
        <v>29</v>
      </c>
      <c r="B128" s="44" t="str">
        <f>VLOOKUP($A128,Questions!$A$2:$X$333,2,0)</f>
        <v>Have you operated without unplanned disruptions to this solution in the past 12 months?</v>
      </c>
      <c r="C128" s="198" t="str">
        <f>VLOOKUP($A128,'Institution Evaluation'!$A$56:$K$345,3,0)&amp;""</f>
        <v>Yes</v>
      </c>
      <c r="D128" s="198" t="str">
        <f>VLOOKUP($A128,'Institution Evaluation'!$A$56:$K$345,4,0)&amp;""</f>
        <v>No unplanned disruptions to the SmartPLS Desktop software or license service in the past 12 months.</v>
      </c>
      <c r="E128" s="204" t="str">
        <f>VLOOKUP($A128,'Institution Evaluation'!$A$56:$K$345,5,0)&amp;""</f>
        <v/>
      </c>
      <c r="F128" s="207" t="str">
        <f>VLOOKUP($A128,'Institution Evaluation'!$A$56:$K$345,6,0)&amp;""</f>
        <v/>
      </c>
      <c r="G128" s="196" t="str">
        <f>VLOOKUP($A128,'Institution Evaluation'!$A$56:$K$345,7,0)&amp;""</f>
        <v>Yes</v>
      </c>
      <c r="H128" s="197" t="str">
        <f>VLOOKUP($A128,'Institution Evaluation'!$A$56:$K$345,8,0)&amp;""</f>
        <v/>
      </c>
      <c r="I128" s="198" t="str">
        <f>VLOOKUP($A128,'Institution Evaluation'!$A$56:$K$345,9,0)&amp;""</f>
        <v>Minor Importance</v>
      </c>
      <c r="J128" s="251" t="str">
        <f>VLOOKUP($A128,'Institution Evaluation'!$A$56:$K$345,10,0)&amp;""</f>
        <v/>
      </c>
      <c r="K128" s="199" t="str">
        <f>IF(VLOOKUP($A128,'Institution Evaluation'!$A$56:$K$345,10,0)=TRUE(),'Auto Responses'!$J$3,"")</f>
        <v/>
      </c>
    </row>
    <row r="129" spans="1:11" ht="27" customHeight="1" x14ac:dyDescent="0.2">
      <c r="A129" s="36" t="s">
        <v>32</v>
      </c>
      <c r="B129" s="44" t="str">
        <f>VLOOKUP($A129,Questions!$A$2:$X$333,2,0)</f>
        <v>Do you have a dedicated information security staff or office?</v>
      </c>
      <c r="C129" s="198" t="str">
        <f>VLOOKUP($A129,'Institution Evaluation'!$A$56:$K$345,3,0)&amp;""</f>
        <v>No</v>
      </c>
      <c r="D129" s="198" t="str">
        <f>VLOOKUP($A129,'Institution Evaluation'!$A$56:$K$345,4,0)&amp;""</f>
        <v/>
      </c>
      <c r="E129" s="204" t="str">
        <f>VLOOKUP($A129,'Institution Evaluation'!$A$56:$K$345,5,0)&amp;""</f>
        <v>Describe any plans to create an information security office for your organization.</v>
      </c>
      <c r="F129" s="207" t="str">
        <f>VLOOKUP($A129,'Institution Evaluation'!$A$56:$K$345,6,0)&amp;""</f>
        <v/>
      </c>
      <c r="G129" s="196" t="str">
        <f>VLOOKUP($A129,'Institution Evaluation'!$A$56:$K$345,7,0)&amp;""</f>
        <v>Yes</v>
      </c>
      <c r="H129" s="197" t="str">
        <f>VLOOKUP($A129,'Institution Evaluation'!$A$56:$K$345,8,0)&amp;""</f>
        <v/>
      </c>
      <c r="I129" s="198" t="str">
        <f>VLOOKUP($A129,'Institution Evaluation'!$A$56:$K$345,9,0)&amp;""</f>
        <v>Minor Importance</v>
      </c>
      <c r="J129" s="251" t="str">
        <f>VLOOKUP($A129,'Institution Evaluation'!$A$56:$K$345,10,0)&amp;""</f>
        <v/>
      </c>
      <c r="K129" s="199" t="str">
        <f>IF(VLOOKUP($A129,'Institution Evaluation'!$A$56:$K$345,10,0)=TRUE(),'Auto Responses'!$J$3,"")</f>
        <v/>
      </c>
    </row>
    <row r="130" spans="1:11" s="3" customFormat="1" ht="17.25" customHeight="1" x14ac:dyDescent="0.15">
      <c r="A130" s="32" t="str">
        <f>VLOOKUP(LEFT($A131,4),'Auto Responses'!$N$4:$O$38,2,0)&amp;""</f>
        <v xml:space="preserve"> Required Questions</v>
      </c>
      <c r="B130" s="41"/>
      <c r="C130" s="42"/>
      <c r="D130" s="42"/>
      <c r="E130" s="203"/>
      <c r="F130" s="246" t="s">
        <v>468</v>
      </c>
      <c r="G130" s="200" t="s">
        <v>463</v>
      </c>
      <c r="H130" s="200" t="s">
        <v>464</v>
      </c>
      <c r="I130" s="200" t="s">
        <v>465</v>
      </c>
      <c r="J130" s="200" t="s">
        <v>466</v>
      </c>
      <c r="K130" s="42"/>
    </row>
    <row r="131" spans="1:11" ht="40.5" customHeight="1" x14ac:dyDescent="0.2">
      <c r="A131" s="36" t="s">
        <v>42</v>
      </c>
      <c r="B131" s="44" t="str">
        <f>VLOOKUP($A131,Questions!$A$2:$X$333,2,0)</f>
        <v>Does your solution have AI features, or are there plans to implement AI features in the next 12 months?</v>
      </c>
      <c r="C131" s="198" t="str">
        <f>VLOOKUP($A131,'Institution Evaluation'!$A$56:$K$345,3,0)&amp;""</f>
        <v>No</v>
      </c>
      <c r="D131" s="198" t="str">
        <f>VLOOKUP($A131,'Institution Evaluation'!$A$56:$K$345,4,0)&amp;""</f>
        <v>SmartPLS Desktop has no AI or machine-learning features, and none are planned in the next 12 months.</v>
      </c>
      <c r="E131" s="204" t="str">
        <f>VLOOKUP($A131,'Institution Evaluation'!$A$56:$K$345,5,0)&amp;""</f>
        <v>DO NOT complete the Artificial Intelligence (AI) worksheet</v>
      </c>
      <c r="F131" s="207" t="str">
        <f>VLOOKUP($A131,'Institution Evaluation'!$A$56:$K$345,6,0)&amp;""</f>
        <v/>
      </c>
      <c r="G131" s="196" t="str">
        <f>VLOOKUP($A131,'Institution Evaluation'!$A$56:$K$345,7,0)&amp;""</f>
        <v>Not scored</v>
      </c>
      <c r="H131" s="197" t="str">
        <f>VLOOKUP($A131,'Institution Evaluation'!$A$56:$K$345,8,0)&amp;""</f>
        <v/>
      </c>
      <c r="I131" s="198" t="str">
        <f>VLOOKUP($A131,'Institution Evaluation'!$A$56:$K$345,9,0)&amp;""</f>
        <v/>
      </c>
      <c r="J131" s="251" t="str">
        <f>VLOOKUP($A131,'Institution Evaluation'!$A$56:$K$345,10,0)&amp;""</f>
        <v/>
      </c>
      <c r="K131" s="199" t="str">
        <f>IF(VLOOKUP($A131,'Institution Evaluation'!$A$56:$K$345,10,0)=TRUE(),'Auto Responses'!$J$3,"")</f>
        <v/>
      </c>
    </row>
    <row r="132" spans="1:11" ht="60" customHeight="1" x14ac:dyDescent="0.2">
      <c r="A132" s="36" t="s">
        <v>44</v>
      </c>
      <c r="B132" s="44" t="str">
        <f>VLOOKUP($A132,Questions!$A$2:$X$333,2,0)</f>
        <v>Does your solution process protected health information (PHI) or any data covered by the Health Insurance Portability and Accountability Act (HIPAA)?</v>
      </c>
      <c r="C132" s="198" t="str">
        <f>VLOOKUP($A132,'Institution Evaluation'!$A$56:$K$345,3,0)&amp;""</f>
        <v>No</v>
      </c>
      <c r="D132" s="198" t="str">
        <f>VLOOKUP($A132,'Institution Evaluation'!$A$56:$K$345,4,0)&amp;""</f>
        <v>SmartPLS does not process protected health information or other HIPAA-covered data.</v>
      </c>
      <c r="E132" s="204" t="str">
        <f>VLOOKUP($A132,'Institution Evaluation'!$A$56:$K$345,5,0)&amp;""</f>
        <v>DO NOT complete the HIPAA section in the Case-Specific worksheet</v>
      </c>
      <c r="F132" s="207" t="str">
        <f>VLOOKUP($A132,'Institution Evaluation'!$A$56:$K$345,6,0)&amp;""</f>
        <v/>
      </c>
      <c r="G132" s="196" t="str">
        <f>VLOOKUP($A132,'Institution Evaluation'!$A$56:$K$345,7,0)&amp;""</f>
        <v>Not scored</v>
      </c>
      <c r="H132" s="197" t="str">
        <f>VLOOKUP($A132,'Institution Evaluation'!$A$56:$K$345,8,0)&amp;""</f>
        <v/>
      </c>
      <c r="I132" s="198" t="str">
        <f>VLOOKUP($A132,'Institution Evaluation'!$A$56:$K$345,9,0)&amp;""</f>
        <v/>
      </c>
      <c r="J132" s="251" t="str">
        <f>VLOOKUP($A132,'Institution Evaluation'!$A$56:$K$345,10,0)&amp;""</f>
        <v/>
      </c>
      <c r="K132" s="199" t="str">
        <f>IF(VLOOKUP($A132,'Institution Evaluation'!$A$56:$K$345,10,0)=TRUE(),'Auto Responses'!$J$3,"")</f>
        <v/>
      </c>
    </row>
    <row r="133" spans="1:11" ht="60" customHeight="1" x14ac:dyDescent="0.2">
      <c r="A133" s="36" t="s">
        <v>46</v>
      </c>
      <c r="B133" s="44" t="str">
        <f>VLOOKUP($A133,Questions!$A$2:$X$333,2,0)</f>
        <v>Is the solution designed to process, store, or transmit credit card information?</v>
      </c>
      <c r="C133" s="198" t="str">
        <f>VLOOKUP($A133,'Institution Evaluation'!$A$56:$K$345,3,0)&amp;""</f>
        <v>No</v>
      </c>
      <c r="D133" s="198" t="str">
        <f>VLOOKUP($A133,'Institution Evaluation'!$A$56:$K$345,4,0)&amp;""</f>
        <v>License purchases are processed by our payment service provider, Adyen; SmartPLS does not itself store, process, or transmit cardholder data.</v>
      </c>
      <c r="E133" s="204" t="str">
        <f>VLOOKUP($A133,'Institution Evaluation'!$A$56:$K$345,5,0)&amp;""</f>
        <v>DO NOT complete the PCI-DSS section in the Case-Specific worksheet</v>
      </c>
      <c r="F133" s="207" t="str">
        <f>VLOOKUP($A133,'Institution Evaluation'!$A$56:$K$345,6,0)&amp;""</f>
        <v/>
      </c>
      <c r="G133" s="196" t="str">
        <f>VLOOKUP($A133,'Institution Evaluation'!$A$56:$K$345,7,0)&amp;""</f>
        <v>Not scored</v>
      </c>
      <c r="H133" s="197" t="str">
        <f>VLOOKUP($A133,'Institution Evaluation'!$A$56:$K$345,8,0)&amp;""</f>
        <v/>
      </c>
      <c r="I133" s="198" t="str">
        <f>VLOOKUP($A133,'Institution Evaluation'!$A$56:$K$345,9,0)&amp;""</f>
        <v/>
      </c>
      <c r="J133" s="251" t="str">
        <f>VLOOKUP($A133,'Institution Evaluation'!$A$56:$K$345,10,0)&amp;""</f>
        <v/>
      </c>
      <c r="K133" s="199" t="str">
        <f>IF(VLOOKUP($A133,'Institution Evaluation'!$A$56:$K$345,10,0)=TRUE(),'Auto Responses'!$J$3,"")</f>
        <v/>
      </c>
    </row>
    <row r="134" spans="1:11" ht="60" customHeight="1" x14ac:dyDescent="0.2">
      <c r="A134" s="36" t="s">
        <v>50</v>
      </c>
      <c r="B134" s="44" t="str">
        <f>VLOOKUP($A134,Questions!$A$2:$X$333,2,0)</f>
        <v>Does your solution have access to personal or institutional data?</v>
      </c>
      <c r="C134" s="198" t="str">
        <f>VLOOKUP($A134,'Institution Evaluation'!$A$56:$K$345,3,0)&amp;""</f>
        <v>Yes</v>
      </c>
      <c r="D134" s="198" t="str">
        <f>VLOOKUP($A134,'Institution Evaluation'!$A$56:$K$345,4,0)&amp;""</f>
        <v>SmartPLS has access to limited personal data used for license administration (name, email, institution) and optional anonymized usage/crash telemetry. It does not have access to institutional research data, which remains on the customer’s own device at all times.</v>
      </c>
      <c r="E134" s="204" t="str">
        <f>VLOOKUP($A134,'Institution Evaluation'!$A$56:$K$345,5,0)&amp;""</f>
        <v>DO complete the Privacy tab</v>
      </c>
      <c r="F134" s="207" t="str">
        <f>VLOOKUP($A134,'Institution Evaluation'!$A$56:$K$345,6,0)&amp;""</f>
        <v/>
      </c>
      <c r="G134" s="196" t="str">
        <f>VLOOKUP($A134,'Institution Evaluation'!$A$56:$K$345,7,0)&amp;""</f>
        <v>Not scored</v>
      </c>
      <c r="H134" s="197" t="str">
        <f>VLOOKUP($A134,'Institution Evaluation'!$A$56:$K$345,8,0)&amp;""</f>
        <v/>
      </c>
      <c r="I134" s="198" t="str">
        <f>VLOOKUP($A134,'Institution Evaluation'!$A$56:$K$345,9,0)&amp;""</f>
        <v/>
      </c>
      <c r="J134" s="251" t="str">
        <f>VLOOKUP($A134,'Institution Evaluation'!$A$56:$K$345,10,0)&amp;""</f>
        <v/>
      </c>
      <c r="K134" s="199" t="str">
        <f>IF(VLOOKUP($A134,'Institution Evaluation'!$A$56:$K$345,10,0)=TRUE(),'Auto Responses'!$J$3,"")</f>
        <v/>
      </c>
    </row>
    <row r="135" spans="1:11" s="3" customFormat="1" ht="17.25" customHeight="1" x14ac:dyDescent="0.15">
      <c r="A135" s="32" t="str">
        <f>VLOOKUP(LEFT($A136,4),'Auto Responses'!$N$4:$O$38,2,0)&amp;""</f>
        <v xml:space="preserve"> Documentation</v>
      </c>
      <c r="B135" s="41"/>
      <c r="C135" s="42"/>
      <c r="D135" s="42"/>
      <c r="E135" s="203"/>
      <c r="F135" s="246" t="s">
        <v>468</v>
      </c>
      <c r="G135" s="200" t="s">
        <v>463</v>
      </c>
      <c r="H135" s="200" t="s">
        <v>464</v>
      </c>
      <c r="I135" s="200" t="s">
        <v>465</v>
      </c>
      <c r="J135" s="200" t="s">
        <v>466</v>
      </c>
      <c r="K135" s="42"/>
    </row>
    <row r="136" spans="1:11" ht="40.5" customHeight="1" x14ac:dyDescent="0.2">
      <c r="A136" s="36" t="s">
        <v>55</v>
      </c>
      <c r="B136" s="44" t="str">
        <f>VLOOKUP($A136,Questions!$A$2:$X$333,2,0)</f>
        <v>Do you have a well-documented business continuity plan (BCP), with a clear owner, that is tested annually?*</v>
      </c>
      <c r="C136" s="198" t="str">
        <f>VLOOKUP($A136,'Institution Evaluation'!$A$56:$K$345,3,0)&amp;""</f>
        <v>No</v>
      </c>
      <c r="D136" s="198" t="str">
        <f>VLOOKUP($A136,'Institution Evaluation'!$A$56:$K$345,4,0)&amp;""</f>
        <v/>
      </c>
      <c r="E136" s="204" t="str">
        <f>VLOOKUP($A136,'Institution Evaluation'!$A$56:$K$345,5,0)&amp;""</f>
        <v/>
      </c>
      <c r="F136" s="207" t="str">
        <f>VLOOKUP($A136,'Institution Evaluation'!$A$56:$K$345,6,0)&amp;""</f>
        <v/>
      </c>
      <c r="G136" s="196" t="str">
        <f>VLOOKUP($A136,'Institution Evaluation'!$A$56:$K$345,7,0)&amp;""</f>
        <v>Yes</v>
      </c>
      <c r="H136" s="197" t="str">
        <f>VLOOKUP($A136,'Institution Evaluation'!$A$56:$K$345,8,0)&amp;""</f>
        <v/>
      </c>
      <c r="I136" s="198" t="str">
        <f>VLOOKUP($A136,'Institution Evaluation'!$A$56:$K$345,9,0)&amp;""</f>
        <v>Critical Importance</v>
      </c>
      <c r="J136" s="251" t="str">
        <f>VLOOKUP($A136,'Institution Evaluation'!$A$56:$K$345,10,0)&amp;""</f>
        <v/>
      </c>
      <c r="K136" s="199" t="str">
        <f>IF(VLOOKUP($A136,'Institution Evaluation'!$A$56:$K$345,10,0)=TRUE(),'Auto Responses'!$J$3,"")</f>
        <v/>
      </c>
    </row>
    <row r="137" spans="1:11" ht="15" customHeight="1" x14ac:dyDescent="0.2">
      <c r="A137" s="36" t="s">
        <v>57</v>
      </c>
      <c r="B137" s="44" t="str">
        <f>VLOOKUP($A137,Questions!$A$2:$X$333,2,0)</f>
        <v>Have you undergone a SSAE 18/SOC 2 audit?</v>
      </c>
      <c r="C137" s="198" t="str">
        <f>VLOOKUP($A137,'Institution Evaluation'!$A$56:$K$345,3,0)&amp;""</f>
        <v>No</v>
      </c>
      <c r="D137" s="198" t="str">
        <f>VLOOKUP($A137,'Institution Evaluation'!$A$56:$K$345,4,0)&amp;""</f>
        <v/>
      </c>
      <c r="E137" s="204" t="str">
        <f>VLOOKUP($A137,'Institution Evaluation'!$A$56:$K$345,5,0)&amp;""</f>
        <v>Describe any plans to undergo a SSAE 18 audit.</v>
      </c>
      <c r="F137" s="207" t="str">
        <f>VLOOKUP($A137,'Institution Evaluation'!$A$56:$K$345,6,0)&amp;""</f>
        <v/>
      </c>
      <c r="G137" s="196" t="str">
        <f>VLOOKUP($A137,'Institution Evaluation'!$A$56:$K$345,7,0)&amp;""</f>
        <v>Yes</v>
      </c>
      <c r="H137" s="197" t="str">
        <f>VLOOKUP($A137,'Institution Evaluation'!$A$56:$K$345,8,0)&amp;""</f>
        <v/>
      </c>
      <c r="I137" s="198" t="str">
        <f>VLOOKUP($A137,'Institution Evaluation'!$A$56:$K$345,9,0)&amp;""</f>
        <v>Standard Importance</v>
      </c>
      <c r="J137" s="251" t="str">
        <f>VLOOKUP($A137,'Institution Evaluation'!$A$56:$K$345,10,0)&amp;""</f>
        <v/>
      </c>
      <c r="K137" s="199" t="str">
        <f>IF(VLOOKUP($A137,'Institution Evaluation'!$A$56:$K$345,10,0)=TRUE(),'Auto Responses'!$J$3,"")</f>
        <v/>
      </c>
    </row>
    <row r="138" spans="1:11" ht="40.5" customHeight="1" x14ac:dyDescent="0.2">
      <c r="A138" s="36" t="s">
        <v>58</v>
      </c>
      <c r="B138" s="44" t="str">
        <f>VLOOKUP($A138,Questions!$A$2:$X$333,2,0)</f>
        <v>Do you conform with a specific industry standard security framework (e.g., NIST Cybersecurity Framework, CIS Controls, ISO 27001, etc.)?</v>
      </c>
      <c r="C138" s="198" t="str">
        <f>VLOOKUP($A138,'Institution Evaluation'!$A$56:$K$345,3,0)&amp;""</f>
        <v>No</v>
      </c>
      <c r="D138" s="198" t="str">
        <f>VLOOKUP($A138,'Institution Evaluation'!$A$56:$K$345,4,0)&amp;""</f>
        <v/>
      </c>
      <c r="E138" s="204" t="str">
        <f>VLOOKUP($A138,'Institution Evaluation'!$A$56:$K$345,5,0)&amp;""</f>
        <v>Describe any plans to conform to an industry standard security framework.</v>
      </c>
      <c r="F138" s="207" t="str">
        <f>VLOOKUP($A138,'Institution Evaluation'!$A$56:$K$345,6,0)&amp;""</f>
        <v/>
      </c>
      <c r="G138" s="196" t="str">
        <f>VLOOKUP($A138,'Institution Evaluation'!$A$56:$K$345,7,0)&amp;""</f>
        <v>Yes</v>
      </c>
      <c r="H138" s="197" t="str">
        <f>VLOOKUP($A138,'Institution Evaluation'!$A$56:$K$345,8,0)&amp;""</f>
        <v/>
      </c>
      <c r="I138" s="198" t="str">
        <f>VLOOKUP($A138,'Institution Evaluation'!$A$56:$K$345,9,0)&amp;""</f>
        <v>Standard Importance</v>
      </c>
      <c r="J138" s="251" t="str">
        <f>VLOOKUP($A138,'Institution Evaluation'!$A$56:$K$345,10,0)&amp;""</f>
        <v/>
      </c>
      <c r="K138" s="199" t="str">
        <f>IF(VLOOKUP($A138,'Institution Evaluation'!$A$56:$K$345,10,0)=TRUE(),'Auto Responses'!$J$3,"")</f>
        <v/>
      </c>
    </row>
    <row r="139" spans="1:11" ht="40.5" customHeight="1" x14ac:dyDescent="0.2">
      <c r="A139" s="36" t="s">
        <v>59</v>
      </c>
      <c r="B139" s="44" t="str">
        <f>VLOOKUP($A139,Questions!$A$2:$X$333,2,0)</f>
        <v>Can you provide overall system and/or application architecture diagrams, including a full description of the data flow for all components of the system?</v>
      </c>
      <c r="C139" s="198" t="str">
        <f>VLOOKUP($A139,'Institution Evaluation'!$A$56:$K$345,3,0)&amp;""</f>
        <v>No</v>
      </c>
      <c r="D139" s="198" t="str">
        <f>VLOOKUP($A139,'Institution Evaluation'!$A$56:$K$345,4,0)&amp;""</f>
        <v/>
      </c>
      <c r="E139" s="204" t="str">
        <f>VLOOKUP($A139,'Institution Evaluation'!$A$56:$K$345,5,0)&amp;""</f>
        <v>Provide a detailed summary of overall system and/or application architecture.</v>
      </c>
      <c r="F139" s="207" t="str">
        <f>VLOOKUP($A139,'Institution Evaluation'!$A$56:$K$345,6,0)&amp;""</f>
        <v/>
      </c>
      <c r="G139" s="196" t="str">
        <f>VLOOKUP($A139,'Institution Evaluation'!$A$56:$K$345,7,0)&amp;""</f>
        <v>Yes</v>
      </c>
      <c r="H139" s="197" t="str">
        <f>VLOOKUP($A139,'Institution Evaluation'!$A$56:$K$345,8,0)&amp;""</f>
        <v/>
      </c>
      <c r="I139" s="198" t="str">
        <f>VLOOKUP($A139,'Institution Evaluation'!$A$56:$K$345,9,0)&amp;""</f>
        <v>Standard Importance</v>
      </c>
      <c r="J139" s="251" t="str">
        <f>VLOOKUP($A139,'Institution Evaluation'!$A$56:$K$345,10,0)&amp;""</f>
        <v/>
      </c>
      <c r="K139" s="199" t="str">
        <f>IF(VLOOKUP($A139,'Institution Evaluation'!$A$56:$K$345,10,0)=TRUE(),'Auto Responses'!$J$3,"")</f>
        <v/>
      </c>
    </row>
    <row r="140" spans="1:11" ht="15" customHeight="1" x14ac:dyDescent="0.2">
      <c r="A140" s="36" t="s">
        <v>60</v>
      </c>
      <c r="B140" s="44" t="str">
        <f>VLOOKUP($A140,Questions!$A$2:$X$333,2,0)</f>
        <v>Does your organization have a data privacy policy?</v>
      </c>
      <c r="C140" s="198" t="str">
        <f>VLOOKUP($A140,'Institution Evaluation'!$A$56:$K$345,3,0)&amp;""</f>
        <v>Yes</v>
      </c>
      <c r="D140" s="198" t="str">
        <f>VLOOKUP($A140,'Institution Evaluation'!$A$56:$K$345,4,0)&amp;""</f>
        <v>A data privacy policy/privacy notice is published: https://smartpls.com/privacy/</v>
      </c>
      <c r="E140" s="204" t="str">
        <f>VLOOKUP($A140,'Institution Evaluation'!$A$56:$K$345,5,0)&amp;""</f>
        <v>Provide your data privacy document (or a valid link to it) upon submission.</v>
      </c>
      <c r="F140" s="207" t="str">
        <f>VLOOKUP($A140,'Institution Evaluation'!$A$56:$K$345,6,0)&amp;""</f>
        <v/>
      </c>
      <c r="G140" s="196" t="str">
        <f>VLOOKUP($A140,'Institution Evaluation'!$A$56:$K$345,7,0)&amp;""</f>
        <v>Yes</v>
      </c>
      <c r="H140" s="197" t="str">
        <f>VLOOKUP($A140,'Institution Evaluation'!$A$56:$K$345,8,0)&amp;""</f>
        <v/>
      </c>
      <c r="I140" s="198" t="str">
        <f>VLOOKUP($A140,'Institution Evaluation'!$A$56:$K$345,9,0)&amp;""</f>
        <v>Standard Importance</v>
      </c>
      <c r="J140" s="251" t="str">
        <f>VLOOKUP($A140,'Institution Evaluation'!$A$56:$K$345,10,0)&amp;""</f>
        <v/>
      </c>
      <c r="K140" s="199" t="str">
        <f>IF(VLOOKUP($A140,'Institution Evaluation'!$A$56:$K$345,10,0)=TRUE(),'Auto Responses'!$J$3,"")</f>
        <v/>
      </c>
    </row>
    <row r="141" spans="1:11" ht="40.5" customHeight="1" x14ac:dyDescent="0.2">
      <c r="A141" s="36" t="s">
        <v>62</v>
      </c>
      <c r="B141" s="44" t="str">
        <f>VLOOKUP($A141,Questions!$A$2:$X$333,2,0)</f>
        <v>Do you have a documented, and currently implemented, employee onboarding and offboarding policy?</v>
      </c>
      <c r="C141" s="198" t="str">
        <f>VLOOKUP($A141,'Institution Evaluation'!$A$56:$K$345,3,0)&amp;""</f>
        <v>No</v>
      </c>
      <c r="D141" s="198" t="str">
        <f>VLOOKUP($A141,'Institution Evaluation'!$A$56:$K$345,4,0)&amp;""</f>
        <v/>
      </c>
      <c r="E141" s="204" t="str">
        <f>VLOOKUP($A141,'Institution Evaluation'!$A$56:$K$345,5,0)&amp;""</f>
        <v>Briefly summarize your response.</v>
      </c>
      <c r="F141" s="207" t="str">
        <f>VLOOKUP($A141,'Institution Evaluation'!$A$56:$K$345,6,0)&amp;""</f>
        <v/>
      </c>
      <c r="G141" s="196" t="str">
        <f>VLOOKUP($A141,'Institution Evaluation'!$A$56:$K$345,7,0)&amp;""</f>
        <v>Yes</v>
      </c>
      <c r="H141" s="197" t="str">
        <f>VLOOKUP($A141,'Institution Evaluation'!$A$56:$K$345,8,0)&amp;""</f>
        <v/>
      </c>
      <c r="I141" s="198" t="str">
        <f>VLOOKUP($A141,'Institution Evaluation'!$A$56:$K$345,9,0)&amp;""</f>
        <v>Standard Importance</v>
      </c>
      <c r="J141" s="251" t="str">
        <f>VLOOKUP($A141,'Institution Evaluation'!$A$56:$K$345,10,0)&amp;""</f>
        <v/>
      </c>
      <c r="K141" s="199" t="str">
        <f>IF(VLOOKUP($A141,'Institution Evaluation'!$A$56:$K$345,10,0)=TRUE(),'Auto Responses'!$J$3,"")</f>
        <v/>
      </c>
    </row>
    <row r="142" spans="1:11" s="3" customFormat="1" ht="17.25" customHeight="1" x14ac:dyDescent="0.15">
      <c r="A142" s="32" t="str">
        <f>VLOOKUP(LEFT($A143,4),'Auto Responses'!$N$4:$O$38,2,0)&amp;""</f>
        <v xml:space="preserve"> IT Accessibility</v>
      </c>
      <c r="B142" s="41"/>
      <c r="C142" s="42"/>
      <c r="D142" s="42"/>
      <c r="E142" s="203"/>
      <c r="F142" s="246" t="s">
        <v>468</v>
      </c>
      <c r="G142" s="200" t="s">
        <v>463</v>
      </c>
      <c r="H142" s="200" t="s">
        <v>464</v>
      </c>
      <c r="I142" s="200" t="s">
        <v>465</v>
      </c>
      <c r="J142" s="200" t="s">
        <v>466</v>
      </c>
      <c r="K142" s="42"/>
    </row>
    <row r="143" spans="1:11" ht="30" customHeight="1" x14ac:dyDescent="0.2">
      <c r="A143" s="36" t="s">
        <v>223</v>
      </c>
      <c r="B143" s="44" t="str">
        <f>VLOOKUP($A143,Questions!$A$2:$X$333,2,0)</f>
        <v>Web Link to Accessibility Statement or VPAT</v>
      </c>
      <c r="C143" s="198" t="str">
        <f>VLOOKUP($A143,'Institution Evaluation'!$A$56:$K$345,3,0)&amp;""</f>
        <v>https://smartpls.com/vpat</v>
      </c>
      <c r="D143" s="198" t="str">
        <f>VLOOKUP($A143,'Institution Evaluation'!$A$56:$K$345,4,0)&amp;""</f>
        <v/>
      </c>
      <c r="E143" s="204" t="str">
        <f>VLOOKUP($A143,'Institution Evaluation'!$A$56:$K$345,5,0)&amp;""</f>
        <v>VPAT can also be added as an attachment</v>
      </c>
      <c r="F143" s="207" t="str">
        <f>VLOOKUP($A143,'Institution Evaluation'!$A$56:$K$345,6,0)&amp;""</f>
        <v/>
      </c>
      <c r="G143" s="196" t="str">
        <f>VLOOKUP($A143,'Institution Evaluation'!$A$56:$K$345,7,0)&amp;""</f>
        <v>Not scored</v>
      </c>
      <c r="H143" s="197" t="str">
        <f>VLOOKUP($A143,'Institution Evaluation'!$A$56:$K$345,8,0)&amp;""</f>
        <v/>
      </c>
      <c r="I143" s="198" t="str">
        <f>VLOOKUP($A143,'Institution Evaluation'!$A$56:$K$345,9,0)&amp;""</f>
        <v/>
      </c>
      <c r="J143" s="251" t="str">
        <f>VLOOKUP($A143,'Institution Evaluation'!$A$56:$K$345,10,0)&amp;""</f>
        <v/>
      </c>
      <c r="K143" s="199" t="str">
        <f>IF(VLOOKUP($A143,'Institution Evaluation'!$A$56:$K$345,10,0)=TRUE(),'Auto Responses'!$J$3,"")</f>
        <v/>
      </c>
    </row>
    <row r="144" spans="1:11" ht="40.5" customHeight="1" x14ac:dyDescent="0.2">
      <c r="A144" s="36" t="s">
        <v>226</v>
      </c>
      <c r="B144" s="44" t="str">
        <f>VLOOKUP($A144,Questions!$A$2:$X$333,2,0)</f>
        <v>Will your company agree to meet your stated accessibility standard or WCAG 2.1 AA as part of your contractual agreement for the solution?*</v>
      </c>
      <c r="C144" s="198" t="str">
        <f>VLOOKUP($A144,'Institution Evaluation'!$A$56:$K$345,3,0)&amp;""</f>
        <v>No</v>
      </c>
      <c r="D144" s="198" t="str">
        <f>VLOOKUP($A144,'Institution Evaluation'!$A$56:$K$345,4,0)&amp;""</f>
        <v>SmartPLS GmbH does not currently offer a contractual commitment to WCAG 2.1 AA conformance.</v>
      </c>
      <c r="E144" s="204" t="str">
        <f>VLOOKUP($A144,'Institution Evaluation'!$A$56:$K$345,5,0)&amp;""</f>
        <v/>
      </c>
      <c r="F144" s="207" t="str">
        <f>VLOOKUP($A144,'Institution Evaluation'!$A$56:$K$345,6,0)&amp;""</f>
        <v/>
      </c>
      <c r="G144" s="196" t="str">
        <f>VLOOKUP($A144,'Institution Evaluation'!$A$56:$K$345,7,0)&amp;""</f>
        <v>Yes</v>
      </c>
      <c r="H144" s="197" t="str">
        <f>VLOOKUP($A144,'Institution Evaluation'!$A$56:$K$345,8,0)&amp;""</f>
        <v/>
      </c>
      <c r="I144" s="198" t="str">
        <f>VLOOKUP($A144,'Institution Evaluation'!$A$56:$K$345,9,0)&amp;""</f>
        <v>Critical Importance</v>
      </c>
      <c r="J144" s="251" t="str">
        <f>VLOOKUP($A144,'Institution Evaluation'!$A$56:$K$345,10,0)&amp;""</f>
        <v/>
      </c>
      <c r="K144" s="199" t="str">
        <f>IF(VLOOKUP($A144,'Institution Evaluation'!$A$56:$K$345,10,0)=TRUE(),'Auto Responses'!$J$3,"")</f>
        <v/>
      </c>
    </row>
    <row r="145" spans="1:11" s="3" customFormat="1" ht="17.25" customHeight="1" x14ac:dyDescent="0.15">
      <c r="A145" s="32" t="str">
        <f>VLOOKUP(LEFT($A146,4),'Auto Responses'!$N$4:$O$38,2,0)&amp;""</f>
        <v xml:space="preserve"> Assessment of Third Parties</v>
      </c>
      <c r="B145" s="41"/>
      <c r="C145" s="42"/>
      <c r="D145" s="42"/>
      <c r="E145" s="203"/>
      <c r="F145" s="246" t="s">
        <v>468</v>
      </c>
      <c r="G145" s="200" t="s">
        <v>463</v>
      </c>
      <c r="H145" s="200" t="s">
        <v>464</v>
      </c>
      <c r="I145" s="200" t="s">
        <v>465</v>
      </c>
      <c r="J145" s="200" t="s">
        <v>466</v>
      </c>
      <c r="K145" s="42"/>
    </row>
    <row r="146" spans="1:11" ht="40.5" customHeight="1" x14ac:dyDescent="0.2">
      <c r="A146" s="36" t="s">
        <v>63</v>
      </c>
      <c r="B146" s="44" t="str">
        <f>VLOOKUP($A146,Questions!$A$2:$X$333,2,0)</f>
        <v>Do you perform security assessments of third-party companies with which you share data (e.g., hosting providers, cloud services, PaaS, IaaS, SaaS)?*</v>
      </c>
      <c r="C146" s="198" t="str">
        <f>VLOOKUP($A146,'Institution Evaluation'!$A$56:$K$345,3,0)&amp;""</f>
        <v>No</v>
      </c>
      <c r="D146" s="198" t="str">
        <f>VLOOKUP($A146,'Institution Evaluation'!$A$56:$K$345,4,0)&amp;""</f>
        <v>SmartPLS GmbH selects established providers (Nalpeiron for licensing, Domainfactory and Strato for hosting, Adyen for payments) but does not perform formal, documented security assessments of these third parties given the size of the company.</v>
      </c>
      <c r="E146" s="204" t="str">
        <f>VLOOKUP($A146,'Institution Evaluation'!$A$56:$K$345,5,0)&amp;""</f>
        <v>State your plans to perform security assessments of third-party companies.</v>
      </c>
      <c r="F146" s="207" t="str">
        <f>VLOOKUP($A146,'Institution Evaluation'!$A$56:$K$345,6,0)&amp;""</f>
        <v/>
      </c>
      <c r="G146" s="196" t="str">
        <f>VLOOKUP($A146,'Institution Evaluation'!$A$56:$K$345,7,0)&amp;""</f>
        <v>Yes</v>
      </c>
      <c r="H146" s="197" t="str">
        <f>VLOOKUP($A146,'Institution Evaluation'!$A$56:$K$345,8,0)&amp;""</f>
        <v/>
      </c>
      <c r="I146" s="198" t="str">
        <f>VLOOKUP($A146,'Institution Evaluation'!$A$56:$K$345,9,0)&amp;""</f>
        <v>Critical Importance</v>
      </c>
      <c r="J146" s="251" t="str">
        <f>VLOOKUP($A146,'Institution Evaluation'!$A$56:$K$345,10,0)&amp;""</f>
        <v/>
      </c>
      <c r="K146" s="199" t="str">
        <f>IF(VLOOKUP($A146,'Institution Evaluation'!$A$56:$K$345,10,0)=TRUE(),'Auto Responses'!$J$3,"")</f>
        <v/>
      </c>
    </row>
    <row r="147" spans="1:11" ht="60" customHeight="1" x14ac:dyDescent="0.2">
      <c r="A147" s="36" t="s">
        <v>65</v>
      </c>
      <c r="B147" s="44" t="str">
        <f>VLOOKUP($A147,Questions!$A$2:$X$333,2,0)</f>
        <v>Do you have contractual language in place with third parties governing access to institutional data?*</v>
      </c>
      <c r="C147" s="198" t="str">
        <f>VLOOKUP($A147,'Institution Evaluation'!$A$56:$K$345,3,0)&amp;""</f>
        <v>Yes</v>
      </c>
      <c r="D147" s="198" t="str">
        <f>VLOOKUP($A147,'Institution Evaluation'!$A$56:$K$345,4,0)&amp;""</f>
        <v>Standard data processing agreements (Art. 28 GDPR) are in place with our processors (e.g., hosting and payment providers) governing access to and use of any personal data.</v>
      </c>
      <c r="E147" s="204" t="str">
        <f>VLOOKUP($A147,'Institution Evaluation'!$A$56:$K$345,5,0)&amp;""</f>
        <v>List each third party and why institutional data is shared with them. Format example: [Third Party Name] - Reason</v>
      </c>
      <c r="F147" s="207" t="str">
        <f>VLOOKUP($A147,'Institution Evaluation'!$A$56:$K$345,6,0)&amp;""</f>
        <v/>
      </c>
      <c r="G147" s="196" t="str">
        <f>VLOOKUP($A147,'Institution Evaluation'!$A$56:$K$345,7,0)&amp;""</f>
        <v>Yes</v>
      </c>
      <c r="H147" s="197" t="str">
        <f>VLOOKUP($A147,'Institution Evaluation'!$A$56:$K$345,8,0)&amp;""</f>
        <v/>
      </c>
      <c r="I147" s="198" t="str">
        <f>VLOOKUP($A147,'Institution Evaluation'!$A$56:$K$345,9,0)&amp;""</f>
        <v>Critical Importance</v>
      </c>
      <c r="J147" s="251" t="str">
        <f>VLOOKUP($A147,'Institution Evaluation'!$A$56:$K$345,10,0)&amp;""</f>
        <v/>
      </c>
      <c r="K147" s="199" t="str">
        <f>IF(VLOOKUP($A147,'Institution Evaluation'!$A$56:$K$345,10,0)=TRUE(),'Auto Responses'!$J$3,"")</f>
        <v/>
      </c>
    </row>
    <row r="148" spans="1:11" ht="27" customHeight="1" x14ac:dyDescent="0.2">
      <c r="A148" s="36" t="s">
        <v>67</v>
      </c>
      <c r="B148" s="44" t="str">
        <f>VLOOKUP($A148,Questions!$A$2:$X$333,2,0)</f>
        <v>Do the contracts in place with these third parties address liability in the event of a data breach?*</v>
      </c>
      <c r="C148" s="198" t="str">
        <f>VLOOKUP($A148,'Institution Evaluation'!$A$56:$K$345,3,0)&amp;""</f>
        <v>Yes</v>
      </c>
      <c r="D148" s="198" t="str">
        <f>VLOOKUP($A148,'Institution Evaluation'!$A$56:$K$345,4,0)&amp;""</f>
        <v>Contracts with our third-party processors follow their standard terms, which address liability and breach notification; SmartPLS GmbH has not separately negotiated bespoke breach-liability clauses.</v>
      </c>
      <c r="E148" s="204" t="str">
        <f>VLOOKUP($A148,'Institution Evaluation'!$A$56:$K$345,5,0)&amp;""</f>
        <v/>
      </c>
      <c r="F148" s="207" t="str">
        <f>VLOOKUP($A148,'Institution Evaluation'!$A$56:$K$345,6,0)&amp;""</f>
        <v/>
      </c>
      <c r="G148" s="196" t="str">
        <f>VLOOKUP($A148,'Institution Evaluation'!$A$56:$K$345,7,0)&amp;""</f>
        <v>Yes</v>
      </c>
      <c r="H148" s="197" t="str">
        <f>VLOOKUP($A148,'Institution Evaluation'!$A$56:$K$345,8,0)&amp;""</f>
        <v/>
      </c>
      <c r="I148" s="198" t="str">
        <f>VLOOKUP($A148,'Institution Evaluation'!$A$56:$K$345,9,0)&amp;""</f>
        <v>Critical Importance</v>
      </c>
      <c r="J148" s="251" t="str">
        <f>VLOOKUP($A148,'Institution Evaluation'!$A$56:$K$345,10,0)&amp;""</f>
        <v/>
      </c>
      <c r="K148" s="199" t="str">
        <f>IF(VLOOKUP($A148,'Institution Evaluation'!$A$56:$K$345,10,0)=TRUE(),'Auto Responses'!$J$3,"")</f>
        <v/>
      </c>
    </row>
    <row r="149" spans="1:11" ht="60" customHeight="1" x14ac:dyDescent="0.2">
      <c r="A149" s="36" t="s">
        <v>69</v>
      </c>
      <c r="B149" s="44" t="str">
        <f>VLOOKUP($A149,Questions!$A$2:$X$333,2,0)</f>
        <v>Do you have an implemented third-party management strategy?*</v>
      </c>
      <c r="C149" s="198" t="str">
        <f>VLOOKUP($A149,'Institution Evaluation'!$A$56:$K$345,3,0)&amp;""</f>
        <v>No</v>
      </c>
      <c r="D149" s="198" t="str">
        <f>VLOOKUP($A149,'Institution Evaluation'!$A$56:$K$345,4,0)&amp;""</f>
        <v/>
      </c>
      <c r="E149" s="204" t="str">
        <f>VLOOKUP($A149,'Institution Evaluation'!$A$56:$K$345,5,0)&amp;""</f>
        <v>State your plans to implement a third-party management strategy.</v>
      </c>
      <c r="F149" s="207" t="str">
        <f>VLOOKUP($A149,'Institution Evaluation'!$A$56:$K$345,6,0)&amp;""</f>
        <v/>
      </c>
      <c r="G149" s="196" t="str">
        <f>VLOOKUP($A149,'Institution Evaluation'!$A$56:$K$345,7,0)&amp;""</f>
        <v>Yes</v>
      </c>
      <c r="H149" s="197" t="str">
        <f>VLOOKUP($A149,'Institution Evaluation'!$A$56:$K$345,8,0)&amp;""</f>
        <v/>
      </c>
      <c r="I149" s="198" t="str">
        <f>VLOOKUP($A149,'Institution Evaluation'!$A$56:$K$345,9,0)&amp;""</f>
        <v>Critical Importance</v>
      </c>
      <c r="J149" s="251" t="str">
        <f>VLOOKUP($A149,'Institution Evaluation'!$A$56:$K$345,10,0)&amp;""</f>
        <v/>
      </c>
      <c r="K149" s="199" t="str">
        <f>IF(VLOOKUP($A149,'Institution Evaluation'!$A$56:$K$345,10,0)=TRUE(),'Auto Responses'!$J$3,"")</f>
        <v/>
      </c>
    </row>
    <row r="150" spans="1:11" s="3" customFormat="1" ht="17.25" customHeight="1" x14ac:dyDescent="0.15">
      <c r="A150" s="32" t="str">
        <f>VLOOKUP(LEFT($A151,4),'Auto Responses'!$N$4:$O$38,2,0)&amp;""</f>
        <v xml:space="preserve"> Consulting Services</v>
      </c>
      <c r="B150" s="41"/>
      <c r="C150" s="42"/>
      <c r="D150" s="42"/>
      <c r="E150" s="203"/>
      <c r="F150" s="246" t="s">
        <v>468</v>
      </c>
      <c r="G150" s="200" t="s">
        <v>463</v>
      </c>
      <c r="H150" s="200" t="s">
        <v>464</v>
      </c>
      <c r="I150" s="200" t="s">
        <v>465</v>
      </c>
      <c r="J150" s="200" t="s">
        <v>466</v>
      </c>
      <c r="K150" s="42"/>
    </row>
    <row r="151" spans="1:11" ht="27" customHeight="1" x14ac:dyDescent="0.2">
      <c r="A151" s="36" t="s">
        <v>240</v>
      </c>
      <c r="B151" s="44" t="str">
        <f>VLOOKUP($A151,Questions!$A$2:$X$333,2,0)</f>
        <v>Will the consultant require access to the institution's network resources?*</v>
      </c>
      <c r="C151" s="198" t="str">
        <f>VLOOKUP($A151,'Institution Evaluation'!$A$56:$K$345,3,0)&amp;""</f>
        <v>N/A</v>
      </c>
      <c r="D151" s="198" t="str">
        <f>VLOOKUP($A151,'Institution Evaluation'!$A$56:$K$345,4,0)&amp;""</f>
        <v>This question does not apply.</v>
      </c>
      <c r="E151" s="204" t="str">
        <f>VLOOKUP($A151,'Institution Evaluation'!$A$56:$K$345,5,0)&amp;""</f>
        <v>Based on the response to REQU-03 on the "START HERE" tab, this question does not apply to this product or service.</v>
      </c>
      <c r="F151" s="207" t="str">
        <f>VLOOKUP($A151,'Institution Evaluation'!$A$56:$K$345,6,0)&amp;""</f>
        <v/>
      </c>
      <c r="G151" s="196" t="str">
        <f>VLOOKUP($A151,'Institution Evaluation'!$A$56:$K$345,7,0)&amp;""</f>
        <v>No</v>
      </c>
      <c r="H151" s="197" t="str">
        <f>VLOOKUP($A151,'Institution Evaluation'!$A$56:$K$345,8,0)&amp;""</f>
        <v/>
      </c>
      <c r="I151" s="198" t="str">
        <f>VLOOKUP($A151,'Institution Evaluation'!$A$56:$K$345,9,0)&amp;""</f>
        <v>Critical Importance</v>
      </c>
      <c r="J151" s="251" t="str">
        <f>VLOOKUP($A151,'Institution Evaluation'!$A$56:$K$345,10,0)&amp;""</f>
        <v/>
      </c>
      <c r="K151" s="199" t="str">
        <f>IF(VLOOKUP($A151,'Institution Evaluation'!$A$56:$K$345,10,0)=TRUE(),'Auto Responses'!$J$3,"")</f>
        <v/>
      </c>
    </row>
    <row r="152" spans="1:11" ht="27" customHeight="1" x14ac:dyDescent="0.2">
      <c r="A152" s="36" t="s">
        <v>241</v>
      </c>
      <c r="B152" s="44" t="str">
        <f>VLOOKUP($A152,Questions!$A$2:$X$333,2,0)</f>
        <v>Has the consultant received training on (sensitive, HIPAA, PCI, etc.) data handling?*</v>
      </c>
      <c r="C152" s="198" t="str">
        <f>VLOOKUP($A152,'Institution Evaluation'!$A$56:$K$345,3,0)&amp;""</f>
        <v>N/A</v>
      </c>
      <c r="D152" s="198" t="str">
        <f>VLOOKUP($A152,'Institution Evaluation'!$A$56:$K$345,4,0)&amp;""</f>
        <v>This question does not apply.</v>
      </c>
      <c r="E152" s="204" t="str">
        <f>VLOOKUP($A152,'Institution Evaluation'!$A$56:$K$345,5,0)&amp;""</f>
        <v>Based on the response to REQU-03 on the "START HERE" tab, this question does not apply to this product or service.</v>
      </c>
      <c r="F152" s="207" t="str">
        <f>VLOOKUP($A152,'Institution Evaluation'!$A$56:$K$345,6,0)&amp;""</f>
        <v/>
      </c>
      <c r="G152" s="196" t="str">
        <f>VLOOKUP($A152,'Institution Evaluation'!$A$56:$K$345,7,0)&amp;""</f>
        <v>Yes</v>
      </c>
      <c r="H152" s="197" t="str">
        <f>VLOOKUP($A152,'Institution Evaluation'!$A$56:$K$345,8,0)&amp;""</f>
        <v/>
      </c>
      <c r="I152" s="198" t="str">
        <f>VLOOKUP($A152,'Institution Evaluation'!$A$56:$K$345,9,0)&amp;""</f>
        <v>Critical Importance</v>
      </c>
      <c r="J152" s="251" t="str">
        <f>VLOOKUP($A152,'Institution Evaluation'!$A$56:$K$345,10,0)&amp;""</f>
        <v/>
      </c>
      <c r="K152" s="199" t="str">
        <f>IF(VLOOKUP($A152,'Institution Evaluation'!$A$56:$K$345,10,0)=TRUE(),'Auto Responses'!$J$3,"")</f>
        <v/>
      </c>
    </row>
    <row r="153" spans="1:11" ht="27" customHeight="1" x14ac:dyDescent="0.2">
      <c r="A153" s="36" t="s">
        <v>242</v>
      </c>
      <c r="B153" s="44" t="str">
        <f>VLOOKUP($A153,Questions!$A$2:$X$333,2,0)</f>
        <v>Is the data encrypted (at rest) while in the consultant's possession?*</v>
      </c>
      <c r="C153" s="198" t="str">
        <f>VLOOKUP($A153,'Institution Evaluation'!$A$56:$K$345,3,0)&amp;""</f>
        <v>N/A</v>
      </c>
      <c r="D153" s="198" t="str">
        <f>VLOOKUP($A153,'Institution Evaluation'!$A$56:$K$345,4,0)&amp;""</f>
        <v>This question does not apply.</v>
      </c>
      <c r="E153" s="204" t="str">
        <f>VLOOKUP($A153,'Institution Evaluation'!$A$56:$K$345,5,0)&amp;""</f>
        <v>Based on the response to REQU-03 on the "START HERE" tab, this question does not apply to this product or service.</v>
      </c>
      <c r="F153" s="207" t="str">
        <f>VLOOKUP($A153,'Institution Evaluation'!$A$56:$K$345,6,0)&amp;""</f>
        <v/>
      </c>
      <c r="G153" s="196" t="str">
        <f>VLOOKUP($A153,'Institution Evaluation'!$A$56:$K$345,7,0)&amp;""</f>
        <v>Yes</v>
      </c>
      <c r="H153" s="197" t="str">
        <f>VLOOKUP($A153,'Institution Evaluation'!$A$56:$K$345,8,0)&amp;""</f>
        <v/>
      </c>
      <c r="I153" s="198" t="str">
        <f>VLOOKUP($A153,'Institution Evaluation'!$A$56:$K$345,9,0)&amp;""</f>
        <v>Critical Importance</v>
      </c>
      <c r="J153" s="251" t="str">
        <f>VLOOKUP($A153,'Institution Evaluation'!$A$56:$K$345,10,0)&amp;""</f>
        <v/>
      </c>
      <c r="K153" s="199" t="str">
        <f>IF(VLOOKUP($A153,'Institution Evaluation'!$A$56:$K$345,10,0)=TRUE(),'Auto Responses'!$J$3,"")</f>
        <v/>
      </c>
    </row>
    <row r="154" spans="1:11" ht="27" customHeight="1" x14ac:dyDescent="0.2">
      <c r="A154" s="36" t="s">
        <v>243</v>
      </c>
      <c r="B154" s="44" t="str">
        <f>VLOOKUP($A154,Questions!$A$2:$X$333,2,0)</f>
        <v>Can access be restricted based on source IP address?*</v>
      </c>
      <c r="C154" s="198" t="str">
        <f>VLOOKUP($A154,'Institution Evaluation'!$A$56:$K$345,3,0)&amp;""</f>
        <v>N/A</v>
      </c>
      <c r="D154" s="198" t="str">
        <f>VLOOKUP($A154,'Institution Evaluation'!$A$56:$K$345,4,0)&amp;""</f>
        <v>This question does not apply.</v>
      </c>
      <c r="E154" s="204" t="str">
        <f>VLOOKUP($A154,'Institution Evaluation'!$A$56:$K$345,5,0)&amp;""</f>
        <v>Based on the response to REQU-03 on the "START HERE" tab, this question does not apply to this product or service.</v>
      </c>
      <c r="F154" s="207" t="str">
        <f>VLOOKUP($A154,'Institution Evaluation'!$A$56:$K$345,6,0)&amp;""</f>
        <v/>
      </c>
      <c r="G154" s="196" t="str">
        <f>VLOOKUP($A154,'Institution Evaluation'!$A$56:$K$345,7,0)&amp;""</f>
        <v>Yes</v>
      </c>
      <c r="H154" s="197" t="str">
        <f>VLOOKUP($A154,'Institution Evaluation'!$A$56:$K$345,8,0)&amp;""</f>
        <v/>
      </c>
      <c r="I154" s="198" t="str">
        <f>VLOOKUP($A154,'Institution Evaluation'!$A$56:$K$345,9,0)&amp;""</f>
        <v>Critical Importance</v>
      </c>
      <c r="J154" s="251" t="str">
        <f>VLOOKUP($A154,'Institution Evaluation'!$A$56:$K$345,10,0)&amp;""</f>
        <v/>
      </c>
      <c r="K154" s="199" t="str">
        <f>IF(VLOOKUP($A154,'Institution Evaluation'!$A$56:$K$345,10,0)=TRUE(),'Auto Responses'!$J$3,"")</f>
        <v/>
      </c>
    </row>
    <row r="155" spans="1:11" ht="15" customHeight="1" x14ac:dyDescent="0.2">
      <c r="A155" s="36" t="s">
        <v>244</v>
      </c>
      <c r="B155" s="44" t="str">
        <f>VLOOKUP($A155,Questions!$A$2:$X$333,2,0)</f>
        <v>Will the consulting take place on-premises?</v>
      </c>
      <c r="C155" s="198" t="str">
        <f>VLOOKUP($A155,'Institution Evaluation'!$A$56:$K$345,3,0)&amp;""</f>
        <v>N/A</v>
      </c>
      <c r="D155" s="198" t="str">
        <f>VLOOKUP($A155,'Institution Evaluation'!$A$56:$K$345,4,0)&amp;""</f>
        <v>This question does not apply.</v>
      </c>
      <c r="E155" s="204" t="str">
        <f>VLOOKUP($A155,'Institution Evaluation'!$A$56:$K$345,5,0)&amp;""</f>
        <v>Based on the response to REQU-03 on the "START HERE" tab, this question does not apply to this product or service.</v>
      </c>
      <c r="F155" s="207" t="str">
        <f>VLOOKUP($A155,'Institution Evaluation'!$A$56:$K$345,6,0)&amp;""</f>
        <v/>
      </c>
      <c r="G155" s="196" t="str">
        <f>VLOOKUP($A155,'Institution Evaluation'!$A$56:$K$345,7,0)&amp;""</f>
        <v>No</v>
      </c>
      <c r="H155" s="197" t="str">
        <f>VLOOKUP($A155,'Institution Evaluation'!$A$56:$K$345,8,0)&amp;""</f>
        <v/>
      </c>
      <c r="I155" s="198" t="str">
        <f>VLOOKUP($A155,'Institution Evaluation'!$A$56:$K$345,9,0)&amp;""</f>
        <v>Standard Importance</v>
      </c>
      <c r="J155" s="251" t="str">
        <f>VLOOKUP($A155,'Institution Evaluation'!$A$56:$K$345,10,0)&amp;""</f>
        <v/>
      </c>
      <c r="K155" s="199" t="str">
        <f>IF(VLOOKUP($A155,'Institution Evaluation'!$A$56:$K$345,10,0)=TRUE(),'Auto Responses'!$J$3,"")</f>
        <v/>
      </c>
    </row>
    <row r="156" spans="1:11" ht="27" customHeight="1" x14ac:dyDescent="0.2">
      <c r="A156" s="36" t="s">
        <v>245</v>
      </c>
      <c r="B156" s="44" t="str">
        <f>VLOOKUP($A156,Questions!$A$2:$X$333,2,0)</f>
        <v>Will the consultant require access to hardware in the institution's data centers?</v>
      </c>
      <c r="C156" s="198" t="str">
        <f>VLOOKUP($A156,'Institution Evaluation'!$A$56:$K$345,3,0)&amp;""</f>
        <v>N/A</v>
      </c>
      <c r="D156" s="198" t="str">
        <f>VLOOKUP($A156,'Institution Evaluation'!$A$56:$K$345,4,0)&amp;""</f>
        <v>This question does not apply.</v>
      </c>
      <c r="E156" s="204" t="str">
        <f>VLOOKUP($A156,'Institution Evaluation'!$A$56:$K$345,5,0)&amp;""</f>
        <v>Based on the response to REQU-03 on the "START HERE" tab, this question does not apply to this product or service.</v>
      </c>
      <c r="F156" s="207" t="str">
        <f>VLOOKUP($A156,'Institution Evaluation'!$A$56:$K$345,6,0)&amp;""</f>
        <v/>
      </c>
      <c r="G156" s="196" t="str">
        <f>VLOOKUP($A156,'Institution Evaluation'!$A$56:$K$345,7,0)&amp;""</f>
        <v>No</v>
      </c>
      <c r="H156" s="197" t="str">
        <f>VLOOKUP($A156,'Institution Evaluation'!$A$56:$K$345,8,0)&amp;""</f>
        <v/>
      </c>
      <c r="I156" s="198" t="str">
        <f>VLOOKUP($A156,'Institution Evaluation'!$A$56:$K$345,9,0)&amp;""</f>
        <v>Standard Importance</v>
      </c>
      <c r="J156" s="251" t="str">
        <f>VLOOKUP($A156,'Institution Evaluation'!$A$56:$K$345,10,0)&amp;""</f>
        <v/>
      </c>
      <c r="K156" s="199" t="str">
        <f>IF(VLOOKUP($A156,'Institution Evaluation'!$A$56:$K$345,10,0)=TRUE(),'Auto Responses'!$J$3,"")</f>
        <v/>
      </c>
    </row>
    <row r="157" spans="1:11" ht="27" customHeight="1" x14ac:dyDescent="0.2">
      <c r="A157" s="36" t="s">
        <v>246</v>
      </c>
      <c r="B157" s="44" t="str">
        <f>VLOOKUP($A157,Questions!$A$2:$X$333,2,0)</f>
        <v>Will the consultant require an account within the institution's domain (@*.edu)?</v>
      </c>
      <c r="C157" s="198" t="str">
        <f>VLOOKUP($A157,'Institution Evaluation'!$A$56:$K$345,3,0)&amp;""</f>
        <v>N/A</v>
      </c>
      <c r="D157" s="198" t="str">
        <f>VLOOKUP($A157,'Institution Evaluation'!$A$56:$K$345,4,0)&amp;""</f>
        <v>This question does not apply.</v>
      </c>
      <c r="E157" s="204" t="str">
        <f>VLOOKUP($A157,'Institution Evaluation'!$A$56:$K$345,5,0)&amp;""</f>
        <v>Based on the response to REQU-03 on the "START HERE" tab, this question does not apply to this product or service.</v>
      </c>
      <c r="F157" s="207" t="str">
        <f>VLOOKUP($A157,'Institution Evaluation'!$A$56:$K$345,6,0)&amp;""</f>
        <v/>
      </c>
      <c r="G157" s="196" t="str">
        <f>VLOOKUP($A157,'Institution Evaluation'!$A$56:$K$345,7,0)&amp;""</f>
        <v>No</v>
      </c>
      <c r="H157" s="197" t="str">
        <f>VLOOKUP($A157,'Institution Evaluation'!$A$56:$K$345,8,0)&amp;""</f>
        <v/>
      </c>
      <c r="I157" s="198" t="str">
        <f>VLOOKUP($A157,'Institution Evaluation'!$A$56:$K$345,9,0)&amp;""</f>
        <v>Standard Importance</v>
      </c>
      <c r="J157" s="251" t="str">
        <f>VLOOKUP($A157,'Institution Evaluation'!$A$56:$K$345,10,0)&amp;""</f>
        <v/>
      </c>
      <c r="K157" s="199" t="str">
        <f>IF(VLOOKUP($A157,'Institution Evaluation'!$A$56:$K$345,10,0)=TRUE(),'Auto Responses'!$J$3,"")</f>
        <v/>
      </c>
    </row>
    <row r="158" spans="1:11" ht="27" customHeight="1" x14ac:dyDescent="0.2">
      <c r="A158" s="36" t="s">
        <v>247</v>
      </c>
      <c r="B158" s="44" t="str">
        <f>VLOOKUP($A158,Questions!$A$2:$X$333,2,0)</f>
        <v>Will any data be transferred to the consultant's possession?</v>
      </c>
      <c r="C158" s="198" t="str">
        <f>VLOOKUP($A158,'Institution Evaluation'!$A$56:$K$345,3,0)&amp;""</f>
        <v>N/A</v>
      </c>
      <c r="D158" s="198" t="str">
        <f>VLOOKUP($A158,'Institution Evaluation'!$A$56:$K$345,4,0)&amp;""</f>
        <v>This question does not apply.</v>
      </c>
      <c r="E158" s="204" t="str">
        <f>VLOOKUP($A158,'Institution Evaluation'!$A$56:$K$345,5,0)&amp;""</f>
        <v>Based on the response to REQU-03 on the "START HERE" tab, this question does not apply to this product or service.</v>
      </c>
      <c r="F158" s="207" t="str">
        <f>VLOOKUP($A158,'Institution Evaluation'!$A$56:$K$345,6,0)&amp;""</f>
        <v/>
      </c>
      <c r="G158" s="196" t="str">
        <f>VLOOKUP($A158,'Institution Evaluation'!$A$56:$K$345,7,0)&amp;""</f>
        <v>No</v>
      </c>
      <c r="H158" s="197" t="str">
        <f>VLOOKUP($A158,'Institution Evaluation'!$A$56:$K$345,8,0)&amp;""</f>
        <v/>
      </c>
      <c r="I158" s="198" t="str">
        <f>VLOOKUP($A158,'Institution Evaluation'!$A$56:$K$345,9,0)&amp;""</f>
        <v>Standard Importance</v>
      </c>
      <c r="J158" s="251" t="str">
        <f>VLOOKUP($A158,'Institution Evaluation'!$A$56:$K$345,10,0)&amp;""</f>
        <v/>
      </c>
      <c r="K158" s="199" t="str">
        <f>IF(VLOOKUP($A158,'Institution Evaluation'!$A$56:$K$345,10,0)=TRUE(),'Auto Responses'!$J$3,"")</f>
        <v/>
      </c>
    </row>
    <row r="159" spans="1:11" ht="27" customHeight="1" x14ac:dyDescent="0.2">
      <c r="A159" s="36" t="s">
        <v>248</v>
      </c>
      <c r="B159" s="44" t="str">
        <f>VLOOKUP($A159,Questions!$A$2:$X$333,2,0)</f>
        <v>Will the consultant need remote access to the institution's network or systems?</v>
      </c>
      <c r="C159" s="198" t="str">
        <f>VLOOKUP($A159,'Institution Evaluation'!$A$56:$K$345,3,0)&amp;""</f>
        <v>N/A</v>
      </c>
      <c r="D159" s="198" t="str">
        <f>VLOOKUP($A159,'Institution Evaluation'!$A$56:$K$345,4,0)&amp;""</f>
        <v>This question does not apply.</v>
      </c>
      <c r="E159" s="204" t="str">
        <f>VLOOKUP($A159,'Institution Evaluation'!$A$56:$K$345,5,0)&amp;""</f>
        <v>Based on the response to REQU-03 on the "START HERE" tab, this question does not apply to this product or service.</v>
      </c>
      <c r="F159" s="207" t="str">
        <f>VLOOKUP($A159,'Institution Evaluation'!$A$56:$K$345,6,0)&amp;""</f>
        <v/>
      </c>
      <c r="G159" s="196" t="str">
        <f>VLOOKUP($A159,'Institution Evaluation'!$A$56:$K$345,7,0)&amp;""</f>
        <v>No</v>
      </c>
      <c r="H159" s="197" t="str">
        <f>VLOOKUP($A159,'Institution Evaluation'!$A$56:$K$345,8,0)&amp;""</f>
        <v/>
      </c>
      <c r="I159" s="198" t="str">
        <f>VLOOKUP($A159,'Institution Evaluation'!$A$56:$K$345,9,0)&amp;""</f>
        <v>Standard Importance</v>
      </c>
      <c r="J159" s="251" t="str">
        <f>VLOOKUP($A159,'Institution Evaluation'!$A$56:$K$345,10,0)&amp;""</f>
        <v/>
      </c>
      <c r="K159" s="199" t="str">
        <f>IF(VLOOKUP($A159,'Institution Evaluation'!$A$56:$K$345,10,0)=TRUE(),'Auto Responses'!$J$3,"")</f>
        <v/>
      </c>
    </row>
    <row r="160" spans="1:11" s="3" customFormat="1" ht="17.25" customHeight="1" x14ac:dyDescent="0.15">
      <c r="A160" s="32" t="str">
        <f>VLOOKUP(LEFT($A161,4),'Auto Responses'!$N$4:$O$38,2,0)&amp;""</f>
        <v xml:space="preserve"> Application/Service Security</v>
      </c>
      <c r="B160" s="41"/>
      <c r="C160" s="42"/>
      <c r="D160" s="42"/>
      <c r="E160" s="203"/>
      <c r="F160" s="246" t="s">
        <v>468</v>
      </c>
      <c r="G160" s="200" t="s">
        <v>463</v>
      </c>
      <c r="H160" s="200" t="s">
        <v>464</v>
      </c>
      <c r="I160" s="200" t="s">
        <v>465</v>
      </c>
      <c r="J160" s="200" t="s">
        <v>466</v>
      </c>
      <c r="K160" s="42"/>
    </row>
    <row r="161" spans="1:11" ht="135" customHeight="1" x14ac:dyDescent="0.2">
      <c r="A161" s="36" t="s">
        <v>166</v>
      </c>
      <c r="B161" s="44" t="str">
        <f>VLOOKUP($A161,Questions!$A$2:$X$333,2,0)</f>
        <v>Are access controls for institutional accounts based on structured rules, such as role-based access control (RBAC), attribute-based access control (ABAC), or policy-based access control (PBAC)?*</v>
      </c>
      <c r="C161" s="198" t="str">
        <f>VLOOKUP($A161,'Institution Evaluation'!$A$56:$K$345,3,0)&amp;""</f>
        <v>N/A</v>
      </c>
      <c r="D161" s="198" t="str">
        <f>VLOOKUP($A161,'Institution Evaluation'!$A$56:$K$345,4,0)&amp;""</f>
        <v>This question does not apply.</v>
      </c>
      <c r="E161" s="204" t="str">
        <f>VLOOKUP($A161,'Institution Evaluation'!$A$56:$K$345,5,0)&amp;""</f>
        <v xml:space="preserve">Based on the response to REQU-01 on the "START HERE" tab, this question does not apply to this product or service. </v>
      </c>
      <c r="F161" s="207" t="str">
        <f>VLOOKUP($A161,'Institution Evaluation'!$A$56:$K$345,6,0)&amp;""</f>
        <v/>
      </c>
      <c r="G161" s="196" t="str">
        <f>VLOOKUP($A161,'Institution Evaluation'!$A$56:$K$345,7,0)&amp;""</f>
        <v>Yes</v>
      </c>
      <c r="H161" s="197" t="str">
        <f>VLOOKUP($A161,'Institution Evaluation'!$A$56:$K$345,8,0)&amp;""</f>
        <v/>
      </c>
      <c r="I161" s="198" t="str">
        <f>VLOOKUP($A161,'Institution Evaluation'!$A$56:$K$345,9,0)&amp;""</f>
        <v>Critical Importance</v>
      </c>
      <c r="J161" s="251" t="str">
        <f>VLOOKUP($A161,'Institution Evaluation'!$A$56:$K$345,10,0)&amp;""</f>
        <v/>
      </c>
      <c r="K161" s="199" t="str">
        <f>IF(VLOOKUP($A161,'Institution Evaluation'!$A$56:$K$345,10,0)=TRUE(),'Auto Responses'!$J$3,"")</f>
        <v/>
      </c>
    </row>
    <row r="162" spans="1:11" ht="15" customHeight="1" x14ac:dyDescent="0.2">
      <c r="A162" s="36" t="s">
        <v>167</v>
      </c>
      <c r="B162" s="44" t="str">
        <f>VLOOKUP($A162,Questions!$A$2:$X$333,2,0)</f>
        <v>Are you using a web application firewall (WAF)?*</v>
      </c>
      <c r="C162" s="198" t="str">
        <f>VLOOKUP($A162,'Institution Evaluation'!$A$56:$K$345,3,0)&amp;""</f>
        <v>N/A</v>
      </c>
      <c r="D162" s="198" t="str">
        <f>VLOOKUP($A162,'Institution Evaluation'!$A$56:$K$345,4,0)&amp;""</f>
        <v>This question does not apply.</v>
      </c>
      <c r="E162" s="204" t="str">
        <f>VLOOKUP($A162,'Institution Evaluation'!$A$56:$K$345,5,0)&amp;""</f>
        <v xml:space="preserve">Based on the response to REQU-01 on the "START HERE" tab, this question does not apply to this product or service. </v>
      </c>
      <c r="F162" s="207" t="str">
        <f>VLOOKUP($A162,'Institution Evaluation'!$A$56:$K$345,6,0)&amp;""</f>
        <v/>
      </c>
      <c r="G162" s="196" t="str">
        <f>VLOOKUP($A162,'Institution Evaluation'!$A$56:$K$345,7,0)&amp;""</f>
        <v>Yes</v>
      </c>
      <c r="H162" s="197" t="str">
        <f>VLOOKUP($A162,'Institution Evaluation'!$A$56:$K$345,8,0)&amp;""</f>
        <v/>
      </c>
      <c r="I162" s="198" t="str">
        <f>VLOOKUP($A162,'Institution Evaluation'!$A$56:$K$345,9,0)&amp;""</f>
        <v>Critical Importance</v>
      </c>
      <c r="J162" s="251" t="str">
        <f>VLOOKUP($A162,'Institution Evaluation'!$A$56:$K$345,10,0)&amp;""</f>
        <v/>
      </c>
      <c r="K162" s="199" t="str">
        <f>IF(VLOOKUP($A162,'Institution Evaluation'!$A$56:$K$345,10,0)=TRUE(),'Auto Responses'!$J$3,"")</f>
        <v/>
      </c>
    </row>
    <row r="163" spans="1:11" ht="135" customHeight="1" x14ac:dyDescent="0.2">
      <c r="A163" s="36" t="s">
        <v>173</v>
      </c>
      <c r="B163" s="44" t="str">
        <f>VLOOKUP($A163,Questions!$A$2:$X$333,2,0)</f>
        <v>Are access controls for staff within your organization based on structured rules, such as RBAC, ABAC, or PBAC?</v>
      </c>
      <c r="C163" s="198" t="str">
        <f>VLOOKUP($A163,'Institution Evaluation'!$A$56:$K$345,3,0)&amp;""</f>
        <v>N/A</v>
      </c>
      <c r="D163" s="198" t="str">
        <f>VLOOKUP($A163,'Institution Evaluation'!$A$56:$K$345,4,0)&amp;""</f>
        <v>This question does not apply.</v>
      </c>
      <c r="E163" s="204" t="str">
        <f>VLOOKUP($A163,'Institution Evaluation'!$A$56:$K$345,5,0)&amp;""</f>
        <v xml:space="preserve">Based on the response to REQU-01 on the "START HERE" tab, this question does not apply to this product or service. </v>
      </c>
      <c r="F163" s="207" t="str">
        <f>VLOOKUP($A163,'Institution Evaluation'!$A$56:$K$345,6,0)&amp;""</f>
        <v/>
      </c>
      <c r="G163" s="196" t="str">
        <f>VLOOKUP($A163,'Institution Evaluation'!$A$56:$K$345,7,0)&amp;""</f>
        <v>Yes</v>
      </c>
      <c r="H163" s="197" t="str">
        <f>VLOOKUP($A163,'Institution Evaluation'!$A$56:$K$345,8,0)&amp;""</f>
        <v/>
      </c>
      <c r="I163" s="198" t="str">
        <f>VLOOKUP($A163,'Institution Evaluation'!$A$56:$K$345,9,0)&amp;""</f>
        <v>Standard Importance</v>
      </c>
      <c r="J163" s="251" t="str">
        <f>VLOOKUP($A163,'Institution Evaluation'!$A$56:$K$345,10,0)&amp;""</f>
        <v/>
      </c>
      <c r="K163" s="199" t="str">
        <f>IF(VLOOKUP($A163,'Institution Evaluation'!$A$56:$K$345,10,0)=TRUE(),'Auto Responses'!$J$3,"")</f>
        <v/>
      </c>
    </row>
    <row r="164" spans="1:11" s="3" customFormat="1" ht="17.25" customHeight="1" x14ac:dyDescent="0.15">
      <c r="A164" s="32" t="str">
        <f>VLOOKUP(LEFT($A165,4),'Auto Responses'!$N$4:$O$38,2,0)&amp;""</f>
        <v xml:space="preserve"> Authentication, Authorization, and Account Management</v>
      </c>
      <c r="B164" s="41"/>
      <c r="C164" s="42"/>
      <c r="D164" s="42"/>
      <c r="E164" s="203"/>
      <c r="F164" s="246" t="s">
        <v>468</v>
      </c>
      <c r="G164" s="200" t="s">
        <v>463</v>
      </c>
      <c r="H164" s="200" t="s">
        <v>464</v>
      </c>
      <c r="I164" s="200" t="s">
        <v>465</v>
      </c>
      <c r="J164" s="200" t="s">
        <v>466</v>
      </c>
      <c r="K164" s="42"/>
    </row>
    <row r="165" spans="1:11" ht="105" customHeight="1" x14ac:dyDescent="0.2">
      <c r="A165" s="36" t="s">
        <v>124</v>
      </c>
      <c r="B165" s="44" t="str">
        <f>VLOOKUP($A165,Questions!$A$2:$X$333,2,0)</f>
        <v>Does your solution support single sign-on (SSO) protocols for user and administrator authentication?*</v>
      </c>
      <c r="C165" s="198" t="str">
        <f>VLOOKUP($A165,'Institution Evaluation'!$A$56:$K$345,3,0)&amp;""</f>
        <v>N/A</v>
      </c>
      <c r="D165" s="198" t="str">
        <f>VLOOKUP($A165,'Institution Evaluation'!$A$56:$K$345,4,0)&amp;""</f>
        <v>This question does not apply.</v>
      </c>
      <c r="E165" s="204" t="str">
        <f>VLOOKUP($A165,'Institution Evaluation'!$A$56:$K$345,5,0)&amp;""</f>
        <v xml:space="preserve">Based on the response to REQU-01 on the "START HERE" tab, this question does not apply to this product or service. </v>
      </c>
      <c r="F165" s="207" t="str">
        <f>VLOOKUP($A165,'Institution Evaluation'!$A$56:$K$345,6,0)&amp;""</f>
        <v/>
      </c>
      <c r="G165" s="196" t="str">
        <f>VLOOKUP($A165,'Institution Evaluation'!$A$56:$K$345,7,0)&amp;""</f>
        <v>Yes</v>
      </c>
      <c r="H165" s="197" t="str">
        <f>VLOOKUP($A165,'Institution Evaluation'!$A$56:$K$345,8,0)&amp;""</f>
        <v/>
      </c>
      <c r="I165" s="198" t="str">
        <f>VLOOKUP($A165,'Institution Evaluation'!$A$56:$K$345,9,0)&amp;""</f>
        <v>Critical Importance</v>
      </c>
      <c r="J165" s="251" t="str">
        <f>VLOOKUP($A165,'Institution Evaluation'!$A$56:$K$345,10,0)&amp;""</f>
        <v/>
      </c>
      <c r="K165" s="199" t="str">
        <f>IF(VLOOKUP($A165,'Institution Evaluation'!$A$56:$K$345,10,0)=TRUE(),'Auto Responses'!$J$3,"")</f>
        <v/>
      </c>
    </row>
    <row r="166" spans="1:11" ht="40.5" customHeight="1" x14ac:dyDescent="0.2">
      <c r="A166" s="36" t="s">
        <v>125</v>
      </c>
      <c r="B166" s="44" t="str">
        <f>VLOOKUP($A166,Questions!$A$2:$X$333,2,0)</f>
        <v>For customers not using SSO, does your solution support local authentication protocols for user and administrator authentication?*</v>
      </c>
      <c r="C166" s="198" t="str">
        <f>VLOOKUP($A166,'Institution Evaluation'!$A$56:$K$345,3,0)&amp;""</f>
        <v>N/A</v>
      </c>
      <c r="D166" s="198" t="str">
        <f>VLOOKUP($A166,'Institution Evaluation'!$A$56:$K$345,4,0)&amp;""</f>
        <v/>
      </c>
      <c r="E166" s="204" t="str">
        <f>VLOOKUP($A166,'Institution Evaluation'!$A$56:$K$345,5,0)&amp;""</f>
        <v xml:space="preserve">N/A is only an acceptable answer if SSO is the only way users are able to log into your product. </v>
      </c>
      <c r="F166" s="207" t="str">
        <f>VLOOKUP($A166,'Institution Evaluation'!$A$56:$K$345,6,0)&amp;""</f>
        <v/>
      </c>
      <c r="G166" s="196" t="str">
        <f>VLOOKUP($A166,'Institution Evaluation'!$A$56:$K$345,7,0)&amp;""</f>
        <v>Yes</v>
      </c>
      <c r="H166" s="197" t="str">
        <f>VLOOKUP($A166,'Institution Evaluation'!$A$56:$K$345,8,0)&amp;""</f>
        <v/>
      </c>
      <c r="I166" s="198" t="str">
        <f>VLOOKUP($A166,'Institution Evaluation'!$A$56:$K$345,9,0)&amp;""</f>
        <v>Critical Importance</v>
      </c>
      <c r="J166" s="251" t="str">
        <f>VLOOKUP($A166,'Institution Evaluation'!$A$56:$K$345,10,0)&amp;""</f>
        <v/>
      </c>
      <c r="K166" s="199" t="str">
        <f>IF(VLOOKUP($A166,'Institution Evaluation'!$A$56:$K$345,10,0)=TRUE(),'Auto Responses'!$J$3,"")</f>
        <v/>
      </c>
    </row>
    <row r="167" spans="1:11" ht="40.5" customHeight="1" x14ac:dyDescent="0.2">
      <c r="A167" s="36" t="s">
        <v>135</v>
      </c>
      <c r="B167" s="44" t="str">
        <f>VLOOKUP($A167,Questions!$A$2:$X$333,2,0)</f>
        <v>For customers not using SSO, does your application support integration with other authentication and authorization systems?</v>
      </c>
      <c r="C167" s="198" t="str">
        <f>VLOOKUP($A167,'Institution Evaluation'!$A$56:$K$345,3,0)&amp;""</f>
        <v>N/A</v>
      </c>
      <c r="D167" s="198" t="str">
        <f>VLOOKUP($A167,'Institution Evaluation'!$A$56:$K$345,4,0)&amp;""</f>
        <v>This question does not apply.</v>
      </c>
      <c r="E167" s="204" t="str">
        <f>VLOOKUP($A167,'Institution Evaluation'!$A$56:$K$345,5,0)&amp;""</f>
        <v xml:space="preserve">Based on the response to REQU-01 on the "START HERE" tab, this question does not apply to this product or service. </v>
      </c>
      <c r="F167" s="207" t="str">
        <f>VLOOKUP($A167,'Institution Evaluation'!$A$56:$K$345,6,0)&amp;""</f>
        <v/>
      </c>
      <c r="G167" s="196" t="str">
        <f>VLOOKUP($A167,'Institution Evaluation'!$A$56:$K$345,7,0)&amp;""</f>
        <v>Yes</v>
      </c>
      <c r="H167" s="197" t="str">
        <f>VLOOKUP($A167,'Institution Evaluation'!$A$56:$K$345,8,0)&amp;""</f>
        <v/>
      </c>
      <c r="I167" s="198" t="str">
        <f>VLOOKUP($A167,'Institution Evaluation'!$A$56:$K$345,9,0)&amp;""</f>
        <v>Standard Importance</v>
      </c>
      <c r="J167" s="251" t="str">
        <f>VLOOKUP($A167,'Institution Evaluation'!$A$56:$K$345,10,0)&amp;""</f>
        <v/>
      </c>
      <c r="K167" s="199" t="str">
        <f>IF(VLOOKUP($A167,'Institution Evaluation'!$A$56:$K$345,10,0)=TRUE(),'Auto Responses'!$J$3,"")</f>
        <v/>
      </c>
    </row>
    <row r="168" spans="1:11" ht="54" customHeight="1" x14ac:dyDescent="0.2">
      <c r="A168" s="36" t="s">
        <v>136</v>
      </c>
      <c r="B168" s="44" t="str">
        <f>VLOOKUP($A168,Questions!$A$2:$X$333,2,0)</f>
        <v>Do you allow the customer to specify attribute mappings for any needed information beyond a user identifier? (e.g., Reference eduPerson, ePPA/ePPN/ePE)</v>
      </c>
      <c r="C168" s="198" t="str">
        <f>VLOOKUP($A168,'Institution Evaluation'!$A$56:$K$345,3,0)&amp;""</f>
        <v>N/A</v>
      </c>
      <c r="D168" s="198" t="str">
        <f>VLOOKUP($A168,'Institution Evaluation'!$A$56:$K$345,4,0)&amp;""</f>
        <v>This question does not apply.</v>
      </c>
      <c r="E168" s="204" t="str">
        <f>VLOOKUP($A168,'Institution Evaluation'!$A$56:$K$345,5,0)&amp;""</f>
        <v xml:space="preserve">Based on the response to REQU-01 on the "START HERE" tab, this question does not apply to this product or service. </v>
      </c>
      <c r="F168" s="207" t="str">
        <f>VLOOKUP($A168,'Institution Evaluation'!$A$56:$K$345,6,0)&amp;""</f>
        <v/>
      </c>
      <c r="G168" s="196" t="str">
        <f>VLOOKUP($A168,'Institution Evaluation'!$A$56:$K$345,7,0)&amp;""</f>
        <v>Yes</v>
      </c>
      <c r="H168" s="197" t="str">
        <f>VLOOKUP($A168,'Institution Evaluation'!$A$56:$K$345,8,0)&amp;""</f>
        <v/>
      </c>
      <c r="I168" s="198" t="str">
        <f>VLOOKUP($A168,'Institution Evaluation'!$A$56:$K$345,9,0)&amp;""</f>
        <v>Standard Importance</v>
      </c>
      <c r="J168" s="251" t="str">
        <f>VLOOKUP($A168,'Institution Evaluation'!$A$56:$K$345,10,0)&amp;""</f>
        <v/>
      </c>
      <c r="K168" s="199" t="str">
        <f>IF(VLOOKUP($A168,'Institution Evaluation'!$A$56:$K$345,10,0)=TRUE(),'Auto Responses'!$J$3,"")</f>
        <v/>
      </c>
    </row>
    <row r="169" spans="1:11" ht="54" customHeight="1" x14ac:dyDescent="0.2">
      <c r="A169" s="36" t="s">
        <v>140</v>
      </c>
      <c r="B169" s="44" t="str">
        <f>VLOOKUP($A169,Questions!$A$2:$X$333,2,0)</f>
        <v>For customers not using SSO, does your application and/or user frontend/portal support multifactor authentication (e.g., Duo, Google Authenticator, OTP, etc.)?</v>
      </c>
      <c r="C169" s="198" t="str">
        <f>VLOOKUP($A169,'Institution Evaluation'!$A$56:$K$345,3,0)&amp;""</f>
        <v>N/A</v>
      </c>
      <c r="D169" s="198" t="str">
        <f>VLOOKUP($A169,'Institution Evaluation'!$A$56:$K$345,4,0)&amp;""</f>
        <v/>
      </c>
      <c r="E169" s="204" t="str">
        <f>VLOOKUP($A169,'Institution Evaluation'!$A$56:$K$345,5,0)&amp;""</f>
        <v xml:space="preserve">N/A is only an acceptable answer if SSO is the only way users are able to log into your product. </v>
      </c>
      <c r="F169" s="207" t="str">
        <f>VLOOKUP($A169,'Institution Evaluation'!$A$56:$K$345,6,0)&amp;""</f>
        <v/>
      </c>
      <c r="G169" s="196" t="str">
        <f>VLOOKUP($A169,'Institution Evaluation'!$A$56:$K$345,7,0)&amp;""</f>
        <v>Yes</v>
      </c>
      <c r="H169" s="197" t="str">
        <f>VLOOKUP($A169,'Institution Evaluation'!$A$56:$K$345,8,0)&amp;""</f>
        <v/>
      </c>
      <c r="I169" s="198" t="str">
        <f>VLOOKUP($A169,'Institution Evaluation'!$A$56:$K$345,9,0)&amp;""</f>
        <v>Minor Importance</v>
      </c>
      <c r="J169" s="251" t="str">
        <f>VLOOKUP($A169,'Institution Evaluation'!$A$56:$K$345,10,0)&amp;""</f>
        <v/>
      </c>
      <c r="K169" s="199" t="str">
        <f>IF(VLOOKUP($A169,'Institution Evaluation'!$A$56:$K$345,10,0)=TRUE(),'Auto Responses'!$J$3,"")</f>
        <v/>
      </c>
    </row>
    <row r="170" spans="1:11" s="3" customFormat="1" ht="17.25" customHeight="1" x14ac:dyDescent="0.15">
      <c r="A170" s="32" t="str">
        <f>VLOOKUP(LEFT($A171,4),'Auto Responses'!$N$4:$O$38,2,0)&amp;""</f>
        <v xml:space="preserve"> Change Management</v>
      </c>
      <c r="B170" s="41"/>
      <c r="C170" s="42"/>
      <c r="D170" s="42"/>
      <c r="E170" s="203"/>
      <c r="F170" s="246" t="s">
        <v>468</v>
      </c>
      <c r="G170" s="200" t="s">
        <v>463</v>
      </c>
      <c r="H170" s="200" t="s">
        <v>464</v>
      </c>
      <c r="I170" s="200" t="s">
        <v>465</v>
      </c>
      <c r="J170" s="200" t="s">
        <v>466</v>
      </c>
      <c r="K170" s="42"/>
    </row>
    <row r="171" spans="1:11" ht="40.5" customHeight="1" x14ac:dyDescent="0.2">
      <c r="A171" s="36" t="s">
        <v>72</v>
      </c>
      <c r="B171" s="44" t="str">
        <f>VLOOKUP($A171,Questions!$A$2:$X$333,2,0)</f>
        <v>Will the institution be notified of major changes to your environment that could impact the institution's security posture?*</v>
      </c>
      <c r="C171" s="198" t="str">
        <f>VLOOKUP($A171,'Institution Evaluation'!$A$56:$K$345,3,0)&amp;""</f>
        <v>Yes</v>
      </c>
      <c r="D171" s="198" t="str">
        <f>VLOOKUP($A171,'Institution Evaluation'!$A$56:$K$345,4,0)&amp;""</f>
        <v>Customers are informed of major SmartPLS releases via the website and, where relevant, direct email.</v>
      </c>
      <c r="E171" s="204" t="str">
        <f>VLOOKUP($A171,'Institution Evaluation'!$A$56:$K$345,5,0)&amp;""</f>
        <v>State how and when the institution will be notified of major changes to your environment.</v>
      </c>
      <c r="F171" s="207" t="str">
        <f>VLOOKUP($A171,'Institution Evaluation'!$A$56:$K$345,6,0)&amp;""</f>
        <v/>
      </c>
      <c r="G171" s="196" t="str">
        <f>VLOOKUP($A171,'Institution Evaluation'!$A$56:$K$345,7,0)&amp;""</f>
        <v>Yes</v>
      </c>
      <c r="H171" s="197" t="str">
        <f>VLOOKUP($A171,'Institution Evaluation'!$A$56:$K$345,8,0)&amp;""</f>
        <v/>
      </c>
      <c r="I171" s="198" t="str">
        <f>VLOOKUP($A171,'Institution Evaluation'!$A$56:$K$345,9,0)&amp;""</f>
        <v>Critical Importance</v>
      </c>
      <c r="J171" s="251" t="str">
        <f>VLOOKUP($A171,'Institution Evaluation'!$A$56:$K$345,10,0)&amp;""</f>
        <v/>
      </c>
      <c r="K171" s="199" t="str">
        <f>IF(VLOOKUP($A171,'Institution Evaluation'!$A$56:$K$345,10,0)=TRUE(),'Auto Responses'!$J$3,"")</f>
        <v/>
      </c>
    </row>
    <row r="172" spans="1:11" ht="60" customHeight="1" x14ac:dyDescent="0.2">
      <c r="A172" s="36" t="s">
        <v>74</v>
      </c>
      <c r="B172" s="44" t="str">
        <f>VLOOKUP($A172,Questions!$A$2:$X$333,2,0)</f>
        <v>Does the system support client customizations from one release to another?*</v>
      </c>
      <c r="C172" s="198" t="str">
        <f>VLOOKUP($A172,'Institution Evaluation'!$A$56:$K$345,3,0)&amp;""</f>
        <v>N/A</v>
      </c>
      <c r="D172" s="198" t="str">
        <f>VLOOKUP($A172,'Institution Evaluation'!$A$56:$K$345,4,0)&amp;""</f>
        <v>SmartPLS Desktop is a standard, non-customized product; there is no client-specific customization between releases.</v>
      </c>
      <c r="E172" s="204" t="str">
        <f>VLOOKUP($A172,'Institution Evaluation'!$A$56:$K$345,5,0)&amp;""</f>
        <v>Please explain why this does not apply to your organization, product or service.</v>
      </c>
      <c r="F172" s="207" t="str">
        <f>VLOOKUP($A172,'Institution Evaluation'!$A$56:$K$345,6,0)&amp;""</f>
        <v/>
      </c>
      <c r="G172" s="196" t="str">
        <f>VLOOKUP($A172,'Institution Evaluation'!$A$56:$K$345,7,0)&amp;""</f>
        <v>Yes</v>
      </c>
      <c r="H172" s="197" t="str">
        <f>VLOOKUP($A172,'Institution Evaluation'!$A$56:$K$345,8,0)&amp;""</f>
        <v/>
      </c>
      <c r="I172" s="198" t="str">
        <f>VLOOKUP($A172,'Institution Evaluation'!$A$56:$K$345,9,0)&amp;""</f>
        <v>Critical Importance</v>
      </c>
      <c r="J172" s="251" t="str">
        <f>VLOOKUP($A172,'Institution Evaluation'!$A$56:$K$345,10,0)&amp;""</f>
        <v/>
      </c>
      <c r="K172" s="199" t="str">
        <f>IF(VLOOKUP($A172,'Institution Evaluation'!$A$56:$K$345,10,0)=TRUE(),'Auto Responses'!$J$3,"")</f>
        <v/>
      </c>
    </row>
    <row r="173" spans="1:11" s="3" customFormat="1" ht="17.25" customHeight="1" x14ac:dyDescent="0.15">
      <c r="A173" s="32" t="str">
        <f>VLOOKUP(LEFT($A174,4),'Auto Responses'!$N$4:$O$38,2,0)&amp;""</f>
        <v xml:space="preserve"> Data</v>
      </c>
      <c r="B173" s="41"/>
      <c r="C173" s="42"/>
      <c r="D173" s="42"/>
      <c r="E173" s="203"/>
      <c r="F173" s="246" t="s">
        <v>468</v>
      </c>
      <c r="G173" s="200" t="s">
        <v>463</v>
      </c>
      <c r="H173" s="200" t="s">
        <v>464</v>
      </c>
      <c r="I173" s="200" t="s">
        <v>465</v>
      </c>
      <c r="J173" s="200" t="s">
        <v>466</v>
      </c>
      <c r="K173" s="42"/>
    </row>
    <row r="174" spans="1:11" ht="40.5" customHeight="1" x14ac:dyDescent="0.2">
      <c r="A174" s="36" t="s">
        <v>144</v>
      </c>
      <c r="B174" s="44" t="str">
        <f>VLOOKUP($A174,Questions!$A$2:$X$333,2,0)</f>
        <v>Is the storage of sensitive data encrypted using security protocols/algorithms (e.g., disk encryption, at-rest, files, and within a running database)?*</v>
      </c>
      <c r="C174" s="198" t="str">
        <f>VLOOKUP($A174,'Institution Evaluation'!$A$56:$K$345,3,0)&amp;""</f>
        <v>N/A</v>
      </c>
      <c r="D174" s="198" t="str">
        <f>VLOOKUP($A174,'Institution Evaluation'!$A$56:$K$345,4,0)&amp;""</f>
        <v>This question does not apply.</v>
      </c>
      <c r="E174" s="204" t="str">
        <f>VLOOKUP($A174,'Institution Evaluation'!$A$56:$K$345,5,0)&amp;""</f>
        <v xml:space="preserve">Based on the response to REQU-01 on the "START HERE" tab, this question does not apply to this product or service. </v>
      </c>
      <c r="F174" s="207" t="str">
        <f>VLOOKUP($A174,'Institution Evaluation'!$A$56:$K$345,6,0)&amp;""</f>
        <v/>
      </c>
      <c r="G174" s="196" t="str">
        <f>VLOOKUP($A174,'Institution Evaluation'!$A$56:$K$345,7,0)&amp;""</f>
        <v>Yes</v>
      </c>
      <c r="H174" s="197" t="str">
        <f>VLOOKUP($A174,'Institution Evaluation'!$A$56:$K$345,8,0)&amp;""</f>
        <v/>
      </c>
      <c r="I174" s="198" t="str">
        <f>VLOOKUP($A174,'Institution Evaluation'!$A$56:$K$345,9,0)&amp;""</f>
        <v>Critical Importance</v>
      </c>
      <c r="J174" s="251" t="str">
        <f>VLOOKUP($A174,'Institution Evaluation'!$A$56:$K$345,10,0)&amp;""</f>
        <v/>
      </c>
      <c r="K174" s="199" t="str">
        <f>IF(VLOOKUP($A174,'Institution Evaluation'!$A$56:$K$345,10,0)=TRUE(),'Auto Responses'!$J$3,"")</f>
        <v/>
      </c>
    </row>
    <row r="175" spans="1:11" ht="40.5" customHeight="1" x14ac:dyDescent="0.2">
      <c r="A175" s="36" t="s">
        <v>145</v>
      </c>
      <c r="B175" s="44" t="str">
        <f>VLOOKUP($A175,Questions!$A$2:$X$333,2,0)</f>
        <v>Do all cryptographic modules in use in your solution conform to the Federal Information Processing Standards (FIPS PUB 140-2 or 140-3)?*</v>
      </c>
      <c r="C175" s="198" t="str">
        <f>VLOOKUP($A175,'Institution Evaluation'!$A$56:$K$345,3,0)&amp;""</f>
        <v>N/A</v>
      </c>
      <c r="D175" s="198" t="str">
        <f>VLOOKUP($A175,'Institution Evaluation'!$A$56:$K$345,4,0)&amp;""</f>
        <v>This question does not apply.</v>
      </c>
      <c r="E175" s="204" t="str">
        <f>VLOOKUP($A175,'Institution Evaluation'!$A$56:$K$345,5,0)&amp;""</f>
        <v xml:space="preserve">Based on the response to REQU-01 on the "START HERE" tab, this question does not apply to this product or service. </v>
      </c>
      <c r="F175" s="207" t="str">
        <f>VLOOKUP($A175,'Institution Evaluation'!$A$56:$K$345,6,0)&amp;""</f>
        <v/>
      </c>
      <c r="G175" s="196" t="str">
        <f>VLOOKUP($A175,'Institution Evaluation'!$A$56:$K$345,7,0)&amp;""</f>
        <v>Yes</v>
      </c>
      <c r="H175" s="197" t="str">
        <f>VLOOKUP($A175,'Institution Evaluation'!$A$56:$K$345,8,0)&amp;""</f>
        <v/>
      </c>
      <c r="I175" s="198" t="str">
        <f>VLOOKUP($A175,'Institution Evaluation'!$A$56:$K$345,9,0)&amp;""</f>
        <v>Critical Importance</v>
      </c>
      <c r="J175" s="251" t="str">
        <f>VLOOKUP($A175,'Institution Evaluation'!$A$56:$K$345,10,0)&amp;""</f>
        <v/>
      </c>
      <c r="K175" s="199" t="str">
        <f>IF(VLOOKUP($A175,'Institution Evaluation'!$A$56:$K$345,10,0)=TRUE(),'Auto Responses'!$J$3,"")</f>
        <v/>
      </c>
    </row>
    <row r="176" spans="1:11" ht="40.5" customHeight="1" x14ac:dyDescent="0.2">
      <c r="A176" s="36" t="s">
        <v>147</v>
      </c>
      <c r="B176" s="44" t="str">
        <f>VLOOKUP($A176,Questions!$A$2:$X$333,2,0)</f>
        <v>Are ownership rights to all data, inputs, outputs, and metadata retained even through a provider acquisition or bankruptcy event?*</v>
      </c>
      <c r="C176" s="198" t="str">
        <f>VLOOKUP($A176,'Institution Evaluation'!$A$56:$K$345,3,0)&amp;""</f>
        <v>N/A</v>
      </c>
      <c r="D176" s="198" t="str">
        <f>VLOOKUP($A176,'Institution Evaluation'!$A$56:$K$345,4,0)&amp;""</f>
        <v>This question does not apply.</v>
      </c>
      <c r="E176" s="204" t="str">
        <f>VLOOKUP($A176,'Institution Evaluation'!$A$56:$K$345,5,0)&amp;""</f>
        <v xml:space="preserve">Based on the response to REQU-01 on the "START HERE" tab, this question does not apply to this product or service. </v>
      </c>
      <c r="F176" s="207" t="str">
        <f>VLOOKUP($A176,'Institution Evaluation'!$A$56:$K$345,6,0)&amp;""</f>
        <v/>
      </c>
      <c r="G176" s="196" t="str">
        <f>VLOOKUP($A176,'Institution Evaluation'!$A$56:$K$345,7,0)&amp;""</f>
        <v>Yes</v>
      </c>
      <c r="H176" s="197" t="str">
        <f>VLOOKUP($A176,'Institution Evaluation'!$A$56:$K$345,8,0)&amp;""</f>
        <v/>
      </c>
      <c r="I176" s="198" t="str">
        <f>VLOOKUP($A176,'Institution Evaluation'!$A$56:$K$345,9,0)&amp;""</f>
        <v>Critical Importance</v>
      </c>
      <c r="J176" s="251" t="str">
        <f>VLOOKUP($A176,'Institution Evaluation'!$A$56:$K$345,10,0)&amp;""</f>
        <v/>
      </c>
      <c r="K176" s="199" t="str">
        <f>IF(VLOOKUP($A176,'Institution Evaluation'!$A$56:$K$345,10,0)=TRUE(),'Auto Responses'!$J$3,"")</f>
        <v/>
      </c>
    </row>
    <row r="177" spans="1:11" ht="40.5" customHeight="1" x14ac:dyDescent="0.2">
      <c r="A177" s="36" t="s">
        <v>148</v>
      </c>
      <c r="B177" s="44" t="str">
        <f>VLOOKUP($A177,Questions!$A$2:$X$333,2,0)</f>
        <v>Do backups containing the institution's data ever leave the institution's data zone either physically or via network routing?*</v>
      </c>
      <c r="C177" s="198" t="str">
        <f>VLOOKUP($A177,'Institution Evaluation'!$A$56:$K$345,3,0)&amp;""</f>
        <v>N/A</v>
      </c>
      <c r="D177" s="198" t="str">
        <f>VLOOKUP($A177,'Institution Evaluation'!$A$56:$K$345,4,0)&amp;""</f>
        <v>This question does not apply.</v>
      </c>
      <c r="E177" s="204" t="str">
        <f>VLOOKUP($A177,'Institution Evaluation'!$A$56:$K$345,5,0)&amp;""</f>
        <v xml:space="preserve">Based on the response to REQU-01 on the "START HERE" tab, this question does not apply to this product or service. </v>
      </c>
      <c r="F177" s="207" t="str">
        <f>VLOOKUP($A177,'Institution Evaluation'!$A$56:$K$345,6,0)&amp;""</f>
        <v/>
      </c>
      <c r="G177" s="196" t="str">
        <f>VLOOKUP($A177,'Institution Evaluation'!$A$56:$K$345,7,0)&amp;""</f>
        <v>No</v>
      </c>
      <c r="H177" s="197" t="str">
        <f>VLOOKUP($A177,'Institution Evaluation'!$A$56:$K$345,8,0)&amp;""</f>
        <v/>
      </c>
      <c r="I177" s="198" t="str">
        <f>VLOOKUP($A177,'Institution Evaluation'!$A$56:$K$345,9,0)&amp;""</f>
        <v>Critical Importance</v>
      </c>
      <c r="J177" s="251" t="str">
        <f>VLOOKUP($A177,'Institution Evaluation'!$A$56:$K$345,10,0)&amp;""</f>
        <v/>
      </c>
      <c r="K177" s="199" t="str">
        <f>IF(VLOOKUP($A177,'Institution Evaluation'!$A$56:$K$345,10,0)=TRUE(),'Auto Responses'!$J$3,"")</f>
        <v/>
      </c>
    </row>
    <row r="178" spans="1:11" ht="40.5" customHeight="1" x14ac:dyDescent="0.2">
      <c r="A178" s="36" t="s">
        <v>149</v>
      </c>
      <c r="B178" s="44" t="str">
        <f>VLOOKUP($A178,Questions!$A$2:$X$333,2,0)</f>
        <v>Is media used for long-term retention of business data and archival purposes stored in a secure, environmentally protected area?*</v>
      </c>
      <c r="C178" s="198" t="str">
        <f>VLOOKUP($A178,'Institution Evaluation'!$A$56:$K$345,3,0)&amp;""</f>
        <v>N/A</v>
      </c>
      <c r="D178" s="198" t="str">
        <f>VLOOKUP($A178,'Institution Evaluation'!$A$56:$K$345,4,0)&amp;""</f>
        <v>This question does not apply.</v>
      </c>
      <c r="E178" s="204" t="str">
        <f>VLOOKUP($A178,'Institution Evaluation'!$A$56:$K$345,5,0)&amp;""</f>
        <v xml:space="preserve">Based on the response to REQU-01 on the "START HERE" tab, this question does not apply to this product or service. </v>
      </c>
      <c r="F178" s="207" t="str">
        <f>VLOOKUP($A178,'Institution Evaluation'!$A$56:$K$345,6,0)&amp;""</f>
        <v/>
      </c>
      <c r="G178" s="196" t="str">
        <f>VLOOKUP($A178,'Institution Evaluation'!$A$56:$K$345,7,0)&amp;""</f>
        <v>Yes</v>
      </c>
      <c r="H178" s="197" t="str">
        <f>VLOOKUP($A178,'Institution Evaluation'!$A$56:$K$345,8,0)&amp;""</f>
        <v/>
      </c>
      <c r="I178" s="198" t="str">
        <f>VLOOKUP($A178,'Institution Evaluation'!$A$56:$K$345,9,0)&amp;""</f>
        <v>Critical Importance</v>
      </c>
      <c r="J178" s="251" t="str">
        <f>VLOOKUP($A178,'Institution Evaluation'!$A$56:$K$345,10,0)&amp;""</f>
        <v/>
      </c>
      <c r="K178" s="199" t="str">
        <f>IF(VLOOKUP($A178,'Institution Evaluation'!$A$56:$K$345,10,0)=TRUE(),'Auto Responses'!$J$3,"")</f>
        <v/>
      </c>
    </row>
    <row r="179" spans="1:11" ht="40.5" customHeight="1" x14ac:dyDescent="0.2">
      <c r="A179" s="36" t="s">
        <v>150</v>
      </c>
      <c r="B179" s="44" t="str">
        <f>VLOOKUP($A179,Questions!$A$2:$X$333,2,0)</f>
        <v>At the completion of this contract, will data be returned to the institution and/or deleted from all your systems and archives?</v>
      </c>
      <c r="C179" s="198" t="str">
        <f>VLOOKUP($A179,'Institution Evaluation'!$A$56:$K$345,3,0)&amp;""</f>
        <v>N/A</v>
      </c>
      <c r="D179" s="198" t="str">
        <f>VLOOKUP($A179,'Institution Evaluation'!$A$56:$K$345,4,0)&amp;""</f>
        <v>This question does not apply.</v>
      </c>
      <c r="E179" s="204" t="str">
        <f>VLOOKUP($A179,'Institution Evaluation'!$A$56:$K$345,5,0)&amp;""</f>
        <v xml:space="preserve">Based on the response to REQU-01 on the "START HERE" tab, this question does not apply to this product or service. </v>
      </c>
      <c r="F179" s="207" t="str">
        <f>VLOOKUP($A179,'Institution Evaluation'!$A$56:$K$345,6,0)&amp;""</f>
        <v/>
      </c>
      <c r="G179" s="196" t="str">
        <f>VLOOKUP($A179,'Institution Evaluation'!$A$56:$K$345,7,0)&amp;""</f>
        <v>Yes</v>
      </c>
      <c r="H179" s="197" t="str">
        <f>VLOOKUP($A179,'Institution Evaluation'!$A$56:$K$345,8,0)&amp;""</f>
        <v/>
      </c>
      <c r="I179" s="198" t="str">
        <f>VLOOKUP($A179,'Institution Evaluation'!$A$56:$K$345,9,0)&amp;""</f>
        <v>Standard Importance</v>
      </c>
      <c r="J179" s="251" t="str">
        <f>VLOOKUP($A179,'Institution Evaluation'!$A$56:$K$345,10,0)&amp;""</f>
        <v/>
      </c>
      <c r="K179" s="199" t="str">
        <f>IF(VLOOKUP($A179,'Institution Evaluation'!$A$56:$K$345,10,0)=TRUE(),'Auto Responses'!$J$3,"")</f>
        <v/>
      </c>
    </row>
    <row r="180" spans="1:11" ht="27" customHeight="1" x14ac:dyDescent="0.2">
      <c r="A180" s="36" t="s">
        <v>151</v>
      </c>
      <c r="B180" s="44" t="str">
        <f>VLOOKUP($A180,Questions!$A$2:$X$333,2,0)</f>
        <v>Can the institution extract a full or partial backup of data?</v>
      </c>
      <c r="C180" s="198" t="str">
        <f>VLOOKUP($A180,'Institution Evaluation'!$A$56:$K$345,3,0)&amp;""</f>
        <v>N/A</v>
      </c>
      <c r="D180" s="198" t="str">
        <f>VLOOKUP($A180,'Institution Evaluation'!$A$56:$K$345,4,0)&amp;""</f>
        <v>This question does not apply.</v>
      </c>
      <c r="E180" s="204" t="str">
        <f>VLOOKUP($A180,'Institution Evaluation'!$A$56:$K$345,5,0)&amp;""</f>
        <v xml:space="preserve">Based on the response to REQU-01 on the "START HERE" tab, this question does not apply to this product or service. </v>
      </c>
      <c r="F180" s="207" t="str">
        <f>VLOOKUP($A180,'Institution Evaluation'!$A$56:$K$345,6,0)&amp;""</f>
        <v/>
      </c>
      <c r="G180" s="196" t="str">
        <f>VLOOKUP($A180,'Institution Evaluation'!$A$56:$K$345,7,0)&amp;""</f>
        <v>Yes</v>
      </c>
      <c r="H180" s="197" t="str">
        <f>VLOOKUP($A180,'Institution Evaluation'!$A$56:$K$345,8,0)&amp;""</f>
        <v/>
      </c>
      <c r="I180" s="198" t="str">
        <f>VLOOKUP($A180,'Institution Evaluation'!$A$56:$K$345,9,0)&amp;""</f>
        <v>Standard Importance</v>
      </c>
      <c r="J180" s="251" t="str">
        <f>VLOOKUP($A180,'Institution Evaluation'!$A$56:$K$345,10,0)&amp;""</f>
        <v/>
      </c>
      <c r="K180" s="199" t="str">
        <f>IF(VLOOKUP($A180,'Institution Evaluation'!$A$56:$K$345,10,0)=TRUE(),'Auto Responses'!$J$3,"")</f>
        <v/>
      </c>
    </row>
    <row r="181" spans="1:11" ht="40.5" customHeight="1" x14ac:dyDescent="0.2">
      <c r="A181" s="36" t="s">
        <v>152</v>
      </c>
      <c r="B181" s="44" t="str">
        <f>VLOOKUP($A181,Questions!$A$2:$X$333,2,0)</f>
        <v>Do current backups include all operating system software, utilities, security software, application software, and data files necessary for recovery?</v>
      </c>
      <c r="C181" s="198" t="str">
        <f>VLOOKUP($A181,'Institution Evaluation'!$A$56:$K$345,3,0)&amp;""</f>
        <v>N/A</v>
      </c>
      <c r="D181" s="198" t="str">
        <f>VLOOKUP($A181,'Institution Evaluation'!$A$56:$K$345,4,0)&amp;""</f>
        <v>This question does not apply.</v>
      </c>
      <c r="E181" s="204" t="str">
        <f>VLOOKUP($A181,'Institution Evaluation'!$A$56:$K$345,5,0)&amp;""</f>
        <v xml:space="preserve">Based on the response to REQU-01 on the "START HERE" tab, this question does not apply to this product or service. </v>
      </c>
      <c r="F181" s="207" t="str">
        <f>VLOOKUP($A181,'Institution Evaluation'!$A$56:$K$345,6,0)&amp;""</f>
        <v/>
      </c>
      <c r="G181" s="196" t="str">
        <f>VLOOKUP($A181,'Institution Evaluation'!$A$56:$K$345,7,0)&amp;""</f>
        <v>Yes</v>
      </c>
      <c r="H181" s="197" t="str">
        <f>VLOOKUP($A181,'Institution Evaluation'!$A$56:$K$345,8,0)&amp;""</f>
        <v/>
      </c>
      <c r="I181" s="198" t="str">
        <f>VLOOKUP($A181,'Institution Evaluation'!$A$56:$K$345,9,0)&amp;""</f>
        <v>Standard Importance</v>
      </c>
      <c r="J181" s="251" t="str">
        <f>VLOOKUP($A181,'Institution Evaluation'!$A$56:$K$345,10,0)&amp;""</f>
        <v/>
      </c>
      <c r="K181" s="199" t="str">
        <f>IF(VLOOKUP($A181,'Institution Evaluation'!$A$56:$K$345,10,0)=TRUE(),'Auto Responses'!$J$3,"")</f>
        <v/>
      </c>
    </row>
    <row r="182" spans="1:11" ht="27" customHeight="1" x14ac:dyDescent="0.2">
      <c r="A182" s="36" t="s">
        <v>153</v>
      </c>
      <c r="B182" s="44" t="str">
        <f>VLOOKUP($A182,Questions!$A$2:$X$333,2,0)</f>
        <v>Are you performing off-site backups (i.e., digitally moved off site)?</v>
      </c>
      <c r="C182" s="198" t="str">
        <f>VLOOKUP($A182,'Institution Evaluation'!$A$56:$K$345,3,0)&amp;""</f>
        <v>N/A</v>
      </c>
      <c r="D182" s="198" t="str">
        <f>VLOOKUP($A182,'Institution Evaluation'!$A$56:$K$345,4,0)&amp;""</f>
        <v>This question does not apply.</v>
      </c>
      <c r="E182" s="204" t="str">
        <f>VLOOKUP($A182,'Institution Evaluation'!$A$56:$K$345,5,0)&amp;""</f>
        <v xml:space="preserve">Based on the response to REQU-01 on the "START HERE" tab, this question does not apply to this product or service. </v>
      </c>
      <c r="F182" s="207" t="str">
        <f>VLOOKUP($A182,'Institution Evaluation'!$A$56:$K$345,6,0)&amp;""</f>
        <v/>
      </c>
      <c r="G182" s="196" t="str">
        <f>VLOOKUP($A182,'Institution Evaluation'!$A$56:$K$345,7,0)&amp;""</f>
        <v>Yes</v>
      </c>
      <c r="H182" s="197" t="str">
        <f>VLOOKUP($A182,'Institution Evaluation'!$A$56:$K$345,8,0)&amp;""</f>
        <v/>
      </c>
      <c r="I182" s="198" t="str">
        <f>VLOOKUP($A182,'Institution Evaluation'!$A$56:$K$345,9,0)&amp;""</f>
        <v>Standard Importance</v>
      </c>
      <c r="J182" s="251" t="str">
        <f>VLOOKUP($A182,'Institution Evaluation'!$A$56:$K$345,10,0)&amp;""</f>
        <v/>
      </c>
      <c r="K182" s="199" t="str">
        <f>IF(VLOOKUP($A182,'Institution Evaluation'!$A$56:$K$345,10,0)=TRUE(),'Auto Responses'!$J$3,"")</f>
        <v/>
      </c>
    </row>
    <row r="183" spans="1:11" ht="27" customHeight="1" x14ac:dyDescent="0.2">
      <c r="A183" s="36" t="s">
        <v>154</v>
      </c>
      <c r="B183" s="44" t="str">
        <f>VLOOKUP($A183,Questions!$A$2:$X$333,2,0)</f>
        <v>Are physical backups taken off-site (i.e., physically moved off site)?</v>
      </c>
      <c r="C183" s="198" t="str">
        <f>VLOOKUP($A183,'Institution Evaluation'!$A$56:$K$345,3,0)&amp;""</f>
        <v>N/A</v>
      </c>
      <c r="D183" s="198" t="str">
        <f>VLOOKUP($A183,'Institution Evaluation'!$A$56:$K$345,4,0)&amp;""</f>
        <v/>
      </c>
      <c r="E183" s="204" t="str">
        <f>VLOOKUP($A183,'Institution Evaluation'!$A$56:$K$345,5,0)&amp;""</f>
        <v>Please explain why this does not apply to your organization, product or service.</v>
      </c>
      <c r="F183" s="207" t="str">
        <f>VLOOKUP($A183,'Institution Evaluation'!$A$56:$K$345,6,0)&amp;""</f>
        <v/>
      </c>
      <c r="G183" s="196" t="str">
        <f>VLOOKUP($A183,'Institution Evaluation'!$A$56:$K$345,7,0)&amp;""</f>
        <v>Yes</v>
      </c>
      <c r="H183" s="197" t="str">
        <f>VLOOKUP($A183,'Institution Evaluation'!$A$56:$K$345,8,0)&amp;""</f>
        <v/>
      </c>
      <c r="I183" s="198" t="str">
        <f>VLOOKUP($A183,'Institution Evaluation'!$A$56:$K$345,9,0)&amp;""</f>
        <v>Standard Importance</v>
      </c>
      <c r="J183" s="251" t="str">
        <f>VLOOKUP($A183,'Institution Evaluation'!$A$56:$K$345,10,0)&amp;""</f>
        <v/>
      </c>
      <c r="K183" s="199" t="str">
        <f>IF(VLOOKUP($A183,'Institution Evaluation'!$A$56:$K$345,10,0)=TRUE(),'Auto Responses'!$J$3,"")</f>
        <v/>
      </c>
    </row>
    <row r="184" spans="1:11" ht="15" customHeight="1" x14ac:dyDescent="0.2">
      <c r="A184" s="36" t="s">
        <v>155</v>
      </c>
      <c r="B184" s="44" t="str">
        <f>VLOOKUP($A184,Questions!$A$2:$X$333,2,0)</f>
        <v>Are data backups encrypted?</v>
      </c>
      <c r="C184" s="198" t="str">
        <f>VLOOKUP($A184,'Institution Evaluation'!$A$56:$K$345,3,0)&amp;""</f>
        <v>N/A</v>
      </c>
      <c r="D184" s="198" t="str">
        <f>VLOOKUP($A184,'Institution Evaluation'!$A$56:$K$345,4,0)&amp;""</f>
        <v>This question does not apply.</v>
      </c>
      <c r="E184" s="204" t="str">
        <f>VLOOKUP($A184,'Institution Evaluation'!$A$56:$K$345,5,0)&amp;""</f>
        <v xml:space="preserve">Based on the response to REQU-01 on the "START HERE" tab, this question does not apply to this product or service. </v>
      </c>
      <c r="F184" s="207" t="str">
        <f>VLOOKUP($A184,'Institution Evaluation'!$A$56:$K$345,6,0)&amp;""</f>
        <v/>
      </c>
      <c r="G184" s="196" t="str">
        <f>VLOOKUP($A184,'Institution Evaluation'!$A$56:$K$345,7,0)&amp;""</f>
        <v>Yes</v>
      </c>
      <c r="H184" s="197" t="str">
        <f>VLOOKUP($A184,'Institution Evaluation'!$A$56:$K$345,8,0)&amp;""</f>
        <v/>
      </c>
      <c r="I184" s="198" t="str">
        <f>VLOOKUP($A184,'Institution Evaluation'!$A$56:$K$345,9,0)&amp;""</f>
        <v>Minor Importance</v>
      </c>
      <c r="J184" s="251" t="str">
        <f>VLOOKUP($A184,'Institution Evaluation'!$A$56:$K$345,10,0)&amp;""</f>
        <v/>
      </c>
      <c r="K184" s="199" t="str">
        <f>IF(VLOOKUP($A184,'Institution Evaluation'!$A$56:$K$345,10,0)=TRUE(),'Auto Responses'!$J$3,"")</f>
        <v/>
      </c>
    </row>
    <row r="185" spans="1:11" ht="67.5" customHeight="1" x14ac:dyDescent="0.2">
      <c r="A185" s="36" t="s">
        <v>156</v>
      </c>
      <c r="B185" s="44" t="str">
        <f>VLOOKUP($A185,Questions!$A$2:$X$333,2,0)</f>
        <v>Do you have a media handling process that is documented and currently implemented that meets established business needs and regulatory requirements, including end-of-life, repurposing, and data-sanitization procedures?</v>
      </c>
      <c r="C185" s="198" t="str">
        <f>VLOOKUP($A185,'Institution Evaluation'!$A$56:$K$345,3,0)&amp;""</f>
        <v>N/A</v>
      </c>
      <c r="D185" s="198" t="str">
        <f>VLOOKUP($A185,'Institution Evaluation'!$A$56:$K$345,4,0)&amp;""</f>
        <v>This question does not apply.</v>
      </c>
      <c r="E185" s="204" t="str">
        <f>VLOOKUP($A185,'Institution Evaluation'!$A$56:$K$345,5,0)&amp;""</f>
        <v xml:space="preserve">Based on the response to REQU-01 on the "START HERE" tab, this question does not apply to this product or service. </v>
      </c>
      <c r="F185" s="207" t="str">
        <f>VLOOKUP($A185,'Institution Evaluation'!$A$56:$K$345,6,0)&amp;""</f>
        <v/>
      </c>
      <c r="G185" s="196" t="str">
        <f>VLOOKUP($A185,'Institution Evaluation'!$A$56:$K$345,7,0)&amp;""</f>
        <v>Yes</v>
      </c>
      <c r="H185" s="197" t="str">
        <f>VLOOKUP($A185,'Institution Evaluation'!$A$56:$K$345,8,0)&amp;""</f>
        <v/>
      </c>
      <c r="I185" s="198" t="str">
        <f>VLOOKUP($A185,'Institution Evaluation'!$A$56:$K$345,9,0)&amp;""</f>
        <v>Standard Importance</v>
      </c>
      <c r="J185" s="251" t="str">
        <f>VLOOKUP($A185,'Institution Evaluation'!$A$56:$K$345,10,0)&amp;""</f>
        <v/>
      </c>
      <c r="K185" s="199" t="str">
        <f>IF(VLOOKUP($A185,'Institution Evaluation'!$A$56:$K$345,10,0)=TRUE(),'Auto Responses'!$J$3,"")</f>
        <v/>
      </c>
    </row>
    <row r="186" spans="1:11" ht="40.5" customHeight="1" x14ac:dyDescent="0.2">
      <c r="A186" s="36" t="s">
        <v>158</v>
      </c>
      <c r="B186" s="44" t="str">
        <f>VLOOKUP($A186,Questions!$A$2:$X$333,2,0)</f>
        <v>Does your staff (or third party) have access to institutional data (e.g., financial, PHI, or other sensitive information) through any means?</v>
      </c>
      <c r="C186" s="198" t="str">
        <f>VLOOKUP($A186,'Institution Evaluation'!$A$56:$K$345,3,0)&amp;""</f>
        <v>N/A</v>
      </c>
      <c r="D186" s="198" t="str">
        <f>VLOOKUP($A186,'Institution Evaluation'!$A$56:$K$345,4,0)&amp;""</f>
        <v>This question does not apply.</v>
      </c>
      <c r="E186" s="204" t="str">
        <f>VLOOKUP($A186,'Institution Evaluation'!$A$56:$K$345,5,0)&amp;""</f>
        <v xml:space="preserve">Based on the response to REQU-01 on the "START HERE" tab, this question does not apply to this product or service. </v>
      </c>
      <c r="F186" s="207" t="str">
        <f>VLOOKUP($A186,'Institution Evaluation'!$A$56:$K$345,6,0)&amp;""</f>
        <v/>
      </c>
      <c r="G186" s="196" t="str">
        <f>VLOOKUP($A186,'Institution Evaluation'!$A$56:$K$345,7,0)&amp;""</f>
        <v>No</v>
      </c>
      <c r="H186" s="197" t="str">
        <f>VLOOKUP($A186,'Institution Evaluation'!$A$56:$K$345,8,0)&amp;""</f>
        <v/>
      </c>
      <c r="I186" s="198" t="str">
        <f>VLOOKUP($A186,'Institution Evaluation'!$A$56:$K$345,9,0)&amp;""</f>
        <v>Standard Importance</v>
      </c>
      <c r="J186" s="251" t="str">
        <f>VLOOKUP($A186,'Institution Evaluation'!$A$56:$K$345,10,0)&amp;""</f>
        <v/>
      </c>
      <c r="K186" s="199" t="str">
        <f>IF(VLOOKUP($A186,'Institution Evaluation'!$A$56:$K$345,10,0)=TRUE(),'Auto Responses'!$J$3,"")</f>
        <v/>
      </c>
    </row>
    <row r="187" spans="1:11" ht="45" customHeight="1" x14ac:dyDescent="0.2">
      <c r="A187" s="36" t="s">
        <v>163</v>
      </c>
      <c r="B187" s="44" t="str">
        <f>VLOOKUP($A187,Questions!$A$2:$X$333,2,0)</f>
        <v>Are involatile backup copies made according to predefined schedules and securely stored and protected?</v>
      </c>
      <c r="C187" s="198" t="str">
        <f>VLOOKUP($A187,'Institution Evaluation'!$A$56:$K$345,3,0)&amp;""</f>
        <v>N/A</v>
      </c>
      <c r="D187" s="198" t="str">
        <f>VLOOKUP($A187,'Institution Evaluation'!$A$56:$K$345,4,0)&amp;""</f>
        <v>This question does not apply.</v>
      </c>
      <c r="E187" s="204" t="str">
        <f>VLOOKUP($A187,'Institution Evaluation'!$A$56:$K$345,5,0)&amp;""</f>
        <v xml:space="preserve">Based on the response to REQU-01 on the "START HERE" tab, this question does not apply to this product or service. </v>
      </c>
      <c r="F187" s="207" t="str">
        <f>VLOOKUP($A187,'Institution Evaluation'!$A$56:$K$345,6,0)&amp;""</f>
        <v/>
      </c>
      <c r="G187" s="196" t="str">
        <f>VLOOKUP($A187,'Institution Evaluation'!$A$56:$K$345,7,0)&amp;""</f>
        <v>Yes</v>
      </c>
      <c r="H187" s="197" t="str">
        <f>VLOOKUP($A187,'Institution Evaluation'!$A$56:$K$345,8,0)&amp;""</f>
        <v/>
      </c>
      <c r="I187" s="198" t="str">
        <f>VLOOKUP($A187,'Institution Evaluation'!$A$56:$K$345,9,0)&amp;""</f>
        <v>Minor Importance</v>
      </c>
      <c r="J187" s="251" t="str">
        <f>VLOOKUP($A187,'Institution Evaluation'!$A$56:$K$345,10,0)&amp;""</f>
        <v/>
      </c>
      <c r="K187" s="199" t="str">
        <f>IF(VLOOKUP($A187,'Institution Evaluation'!$A$56:$K$345,10,0)=TRUE(),'Auto Responses'!$J$3,"")</f>
        <v/>
      </c>
    </row>
    <row r="188" spans="1:11" ht="67.5" customHeight="1" x14ac:dyDescent="0.2">
      <c r="A188" s="36" t="s">
        <v>164</v>
      </c>
      <c r="B188" s="44" t="str">
        <f>VLOOKUP($A188,Questions!$A$2:$X$333,2,0)</f>
        <v>Do you have a cryptographic key management process (generation, exchange, storage, safeguards, use, vetting, and replacement) that is documented and currently implemented, for all system components (e.g., database, system, web, etc.)?</v>
      </c>
      <c r="C188" s="198" t="str">
        <f>VLOOKUP($A188,'Institution Evaluation'!$A$56:$K$345,3,0)&amp;""</f>
        <v>N/A</v>
      </c>
      <c r="D188" s="198" t="str">
        <f>VLOOKUP($A188,'Institution Evaluation'!$A$56:$K$345,4,0)&amp;""</f>
        <v>This question does not apply.</v>
      </c>
      <c r="E188" s="204" t="str">
        <f>VLOOKUP($A188,'Institution Evaluation'!$A$56:$K$345,5,0)&amp;""</f>
        <v xml:space="preserve">Based on the response to REQU-01 on the "START HERE" tab, this question does not apply to this product or service. </v>
      </c>
      <c r="F188" s="207" t="str">
        <f>VLOOKUP($A188,'Institution Evaluation'!$A$56:$K$345,6,0)&amp;""</f>
        <v/>
      </c>
      <c r="G188" s="196" t="str">
        <f>VLOOKUP($A188,'Institution Evaluation'!$A$56:$K$345,7,0)&amp;""</f>
        <v>Yes</v>
      </c>
      <c r="H188" s="197" t="str">
        <f>VLOOKUP($A188,'Institution Evaluation'!$A$56:$K$345,8,0)&amp;""</f>
        <v/>
      </c>
      <c r="I188" s="198" t="str">
        <f>VLOOKUP($A188,'Institution Evaluation'!$A$56:$K$345,9,0)&amp;""</f>
        <v>Minor Importance</v>
      </c>
      <c r="J188" s="251" t="str">
        <f>VLOOKUP($A188,'Institution Evaluation'!$A$56:$K$345,10,0)&amp;""</f>
        <v/>
      </c>
      <c r="K188" s="199" t="str">
        <f>IF(VLOOKUP($A188,'Institution Evaluation'!$A$56:$K$345,10,0)=TRUE(),'Auto Responses'!$J$3,"")</f>
        <v/>
      </c>
    </row>
    <row r="189" spans="1:11" s="3" customFormat="1" ht="17.25" customHeight="1" x14ac:dyDescent="0.15">
      <c r="A189" s="32" t="str">
        <f>VLOOKUP(LEFT($A190,4),'Auto Responses'!$N$4:$O$38,2,0)&amp;""</f>
        <v xml:space="preserve"> Datacenter</v>
      </c>
      <c r="B189" s="41"/>
      <c r="C189" s="42"/>
      <c r="D189" s="42"/>
      <c r="E189" s="203"/>
      <c r="F189" s="246" t="s">
        <v>468</v>
      </c>
      <c r="G189" s="200" t="s">
        <v>463</v>
      </c>
      <c r="H189" s="200" t="s">
        <v>464</v>
      </c>
      <c r="I189" s="200" t="s">
        <v>465</v>
      </c>
      <c r="J189" s="200" t="s">
        <v>466</v>
      </c>
      <c r="K189" s="42"/>
    </row>
    <row r="190" spans="1:11" ht="90" customHeight="1" x14ac:dyDescent="0.2">
      <c r="A190" s="36" t="s">
        <v>180</v>
      </c>
      <c r="B190" s="44" t="str">
        <f>VLOOKUP($A190,Questions!$A$2:$X$333,2,0)</f>
        <v>Select your hosting option.</v>
      </c>
      <c r="C190" s="198" t="str">
        <f>VLOOKUP($A190,'Institution Evaluation'!$A$56:$K$345,3,0)&amp;""</f>
        <v>N/A</v>
      </c>
      <c r="D190" s="198" t="str">
        <f>VLOOKUP($A190,'Institution Evaluation'!$A$56:$K$345,4,0)&amp;""</f>
        <v/>
      </c>
      <c r="E190" s="204" t="str">
        <f>VLOOKUP($A190,'Institution Evaluation'!$A$56:$K$345,5,0)&amp;""</f>
        <v/>
      </c>
      <c r="F190" s="207" t="str">
        <f>VLOOKUP($A190,'Institution Evaluation'!$A$56:$K$345,6,0)&amp;""</f>
        <v/>
      </c>
      <c r="G190" s="196" t="str">
        <f>VLOOKUP($A190,'Institution Evaluation'!$A$56:$K$345,7,0)&amp;""</f>
        <v>Not scored</v>
      </c>
      <c r="H190" s="197" t="str">
        <f>VLOOKUP($A190,'Institution Evaluation'!$A$56:$K$345,8,0)&amp;""</f>
        <v/>
      </c>
      <c r="I190" s="198" t="str">
        <f>VLOOKUP($A190,'Institution Evaluation'!$A$56:$K$345,9,0)&amp;""</f>
        <v/>
      </c>
      <c r="J190" s="251" t="str">
        <f>VLOOKUP($A190,'Institution Evaluation'!$A$56:$K$345,10,0)&amp;""</f>
        <v/>
      </c>
      <c r="K190" s="199" t="str">
        <f>IF(VLOOKUP($A190,'Institution Evaluation'!$A$56:$K$345,10,0)=TRUE(),'Auto Responses'!$J$3,"")</f>
        <v/>
      </c>
    </row>
    <row r="191" spans="1:11" ht="27" customHeight="1" x14ac:dyDescent="0.2">
      <c r="A191" s="36" t="s">
        <v>182</v>
      </c>
      <c r="B191" s="44" t="str">
        <f>VLOOKUP($A191,Questions!$A$2:$X$333,2,0)</f>
        <v>Are you generally able to accommodate storing each institution's data within its geographic region?</v>
      </c>
      <c r="C191" s="198" t="str">
        <f>VLOOKUP($A191,'Institution Evaluation'!$A$56:$K$345,3,0)&amp;""</f>
        <v>N/A</v>
      </c>
      <c r="D191" s="198" t="str">
        <f>VLOOKUP($A191,'Institution Evaluation'!$A$56:$K$345,4,0)&amp;""</f>
        <v/>
      </c>
      <c r="E191" s="204" t="str">
        <f>VLOOKUP($A191,'Institution Evaluation'!$A$56:$K$345,5,0)&amp;""</f>
        <v>Please indicate which geographic regions you can provide storage in the Additional Info column.</v>
      </c>
      <c r="F191" s="207" t="str">
        <f>VLOOKUP($A191,'Institution Evaluation'!$A$56:$K$345,6,0)&amp;""</f>
        <v/>
      </c>
      <c r="G191" s="196" t="str">
        <f>VLOOKUP($A191,'Institution Evaluation'!$A$56:$K$345,7,0)&amp;""</f>
        <v>Yes</v>
      </c>
      <c r="H191" s="197" t="str">
        <f>VLOOKUP($A191,'Institution Evaluation'!$A$56:$K$345,8,0)&amp;""</f>
        <v/>
      </c>
      <c r="I191" s="198" t="str">
        <f>VLOOKUP($A191,'Institution Evaluation'!$A$56:$K$345,9,0)&amp;""</f>
        <v>Standard Importance</v>
      </c>
      <c r="J191" s="251" t="str">
        <f>VLOOKUP($A191,'Institution Evaluation'!$A$56:$K$345,10,0)&amp;""</f>
        <v/>
      </c>
      <c r="K191" s="199" t="str">
        <f>IF(VLOOKUP($A191,'Institution Evaluation'!$A$56:$K$345,10,0)=TRUE(),'Auto Responses'!$J$3,"")</f>
        <v/>
      </c>
    </row>
    <row r="192" spans="1:11" s="3" customFormat="1" ht="17.25" customHeight="1" x14ac:dyDescent="0.15">
      <c r="A192" s="32" t="str">
        <f>VLOOKUP(LEFT($A193,4),'Auto Responses'!$N$4:$O$38,2,0)&amp;""</f>
        <v xml:space="preserve"> Firewalls, IDS, IPS, and Networking</v>
      </c>
      <c r="B192" s="41"/>
      <c r="C192" s="42"/>
      <c r="D192" s="42"/>
      <c r="E192" s="203"/>
      <c r="F192" s="246" t="s">
        <v>468</v>
      </c>
      <c r="G192" s="200" t="s">
        <v>463</v>
      </c>
      <c r="H192" s="200" t="s">
        <v>464</v>
      </c>
      <c r="I192" s="200" t="s">
        <v>465</v>
      </c>
      <c r="J192" s="200" t="s">
        <v>466</v>
      </c>
      <c r="K192" s="42"/>
    </row>
    <row r="193" spans="1:11" ht="27" customHeight="1" x14ac:dyDescent="0.2">
      <c r="A193" s="36" t="s">
        <v>196</v>
      </c>
      <c r="B193" s="44" t="str">
        <f>VLOOKUP($A193,Questions!$A$2:$X$333,2,0)</f>
        <v>Are you utilizing a stateful packet inspection (SPI) firewall?*</v>
      </c>
      <c r="C193" s="198" t="str">
        <f>VLOOKUP($A193,'Institution Evaluation'!$A$56:$K$345,3,0)&amp;""</f>
        <v>N/A</v>
      </c>
      <c r="D193" s="198" t="str">
        <f>VLOOKUP($A193,'Institution Evaluation'!$A$56:$K$345,4,0)&amp;""</f>
        <v>This question does not apply.</v>
      </c>
      <c r="E193" s="204" t="str">
        <f>VLOOKUP($A193,'Institution Evaluation'!$A$56:$K$345,5,0)&amp;""</f>
        <v xml:space="preserve">Based on the response to REQU-01 on the "START HERE" tab, this question does not apply to this product or service. </v>
      </c>
      <c r="F193" s="207" t="str">
        <f>VLOOKUP($A193,'Institution Evaluation'!$A$56:$K$345,6,0)&amp;""</f>
        <v/>
      </c>
      <c r="G193" s="196" t="str">
        <f>VLOOKUP($A193,'Institution Evaluation'!$A$56:$K$345,7,0)&amp;""</f>
        <v>Yes</v>
      </c>
      <c r="H193" s="197" t="str">
        <f>VLOOKUP($A193,'Institution Evaluation'!$A$56:$K$345,8,0)&amp;""</f>
        <v/>
      </c>
      <c r="I193" s="198" t="str">
        <f>VLOOKUP($A193,'Institution Evaluation'!$A$56:$K$345,9,0)&amp;""</f>
        <v>Critical Importance</v>
      </c>
      <c r="J193" s="251" t="str">
        <f>VLOOKUP($A193,'Institution Evaluation'!$A$56:$K$345,10,0)&amp;""</f>
        <v/>
      </c>
      <c r="K193" s="199" t="str">
        <f>IF(VLOOKUP($A193,'Institution Evaluation'!$A$56:$K$345,10,0)=TRUE(),'Auto Responses'!$J$3,"")</f>
        <v/>
      </c>
    </row>
    <row r="194" spans="1:11" ht="27" customHeight="1" x14ac:dyDescent="0.2">
      <c r="A194" s="36" t="s">
        <v>197</v>
      </c>
      <c r="B194" s="44" t="str">
        <f>VLOOKUP($A194,Questions!$A$2:$X$333,2,0)</f>
        <v>Do you have a documented policy for firewall change requests?*</v>
      </c>
      <c r="C194" s="198" t="str">
        <f>VLOOKUP($A194,'Institution Evaluation'!$A$56:$K$345,3,0)&amp;""</f>
        <v>N/A</v>
      </c>
      <c r="D194" s="198" t="str">
        <f>VLOOKUP($A194,'Institution Evaluation'!$A$56:$K$345,4,0)&amp;""</f>
        <v>This question does not apply.</v>
      </c>
      <c r="E194" s="204" t="str">
        <f>VLOOKUP($A194,'Institution Evaluation'!$A$56:$K$345,5,0)&amp;""</f>
        <v xml:space="preserve">Based on the response to REQU-01 on the "START HERE" tab, this question does not apply to this product or service. </v>
      </c>
      <c r="F194" s="207" t="str">
        <f>VLOOKUP($A194,'Institution Evaluation'!$A$56:$K$345,6,0)&amp;""</f>
        <v/>
      </c>
      <c r="G194" s="196" t="str">
        <f>VLOOKUP($A194,'Institution Evaluation'!$A$56:$K$345,7,0)&amp;""</f>
        <v>Yes</v>
      </c>
      <c r="H194" s="197" t="str">
        <f>VLOOKUP($A194,'Institution Evaluation'!$A$56:$K$345,8,0)&amp;""</f>
        <v/>
      </c>
      <c r="I194" s="198" t="str">
        <f>VLOOKUP($A194,'Institution Evaluation'!$A$56:$K$345,9,0)&amp;""</f>
        <v>Critical Importance</v>
      </c>
      <c r="J194" s="251" t="str">
        <f>VLOOKUP($A194,'Institution Evaluation'!$A$56:$K$345,10,0)&amp;""</f>
        <v/>
      </c>
      <c r="K194" s="199" t="str">
        <f>IF(VLOOKUP($A194,'Institution Evaluation'!$A$56:$K$345,10,0)=TRUE(),'Auto Responses'!$J$3,"")</f>
        <v/>
      </c>
    </row>
    <row r="195" spans="1:11" ht="27" customHeight="1" x14ac:dyDescent="0.2">
      <c r="A195" s="36" t="s">
        <v>198</v>
      </c>
      <c r="B195" s="44" t="str">
        <f>VLOOKUP($A195,Questions!$A$2:$X$333,2,0)</f>
        <v>Have you implemented an intrusion detection system (network-based)?*</v>
      </c>
      <c r="C195" s="198" t="str">
        <f>VLOOKUP($A195,'Institution Evaluation'!$A$56:$K$345,3,0)&amp;""</f>
        <v>N/A</v>
      </c>
      <c r="D195" s="198" t="str">
        <f>VLOOKUP($A195,'Institution Evaluation'!$A$56:$K$345,4,0)&amp;""</f>
        <v>This question does not apply.</v>
      </c>
      <c r="E195" s="204" t="str">
        <f>VLOOKUP($A195,'Institution Evaluation'!$A$56:$K$345,5,0)&amp;""</f>
        <v xml:space="preserve">Based on the response to REQU-01 on the "START HERE" tab, this question does not apply to this product or service. </v>
      </c>
      <c r="F195" s="207" t="str">
        <f>VLOOKUP($A195,'Institution Evaluation'!$A$56:$K$345,6,0)&amp;""</f>
        <v/>
      </c>
      <c r="G195" s="196" t="str">
        <f>VLOOKUP($A195,'Institution Evaluation'!$A$56:$K$345,7,0)&amp;""</f>
        <v>Yes</v>
      </c>
      <c r="H195" s="197" t="str">
        <f>VLOOKUP($A195,'Institution Evaluation'!$A$56:$K$345,8,0)&amp;""</f>
        <v/>
      </c>
      <c r="I195" s="198" t="str">
        <f>VLOOKUP($A195,'Institution Evaluation'!$A$56:$K$345,9,0)&amp;""</f>
        <v>Critical Importance</v>
      </c>
      <c r="J195" s="251" t="str">
        <f>VLOOKUP($A195,'Institution Evaluation'!$A$56:$K$345,10,0)&amp;""</f>
        <v/>
      </c>
      <c r="K195" s="199" t="str">
        <f>IF(VLOOKUP($A195,'Institution Evaluation'!$A$56:$K$345,10,0)=TRUE(),'Auto Responses'!$J$3,"")</f>
        <v/>
      </c>
    </row>
    <row r="196" spans="1:11" ht="15" customHeight="1" x14ac:dyDescent="0.2">
      <c r="A196" s="36" t="s">
        <v>199</v>
      </c>
      <c r="B196" s="44" t="str">
        <f>VLOOKUP($A196,Questions!$A$2:$X$333,2,0)</f>
        <v>Do you employ host-based intrusion detection?*</v>
      </c>
      <c r="C196" s="198" t="str">
        <f>VLOOKUP($A196,'Institution Evaluation'!$A$56:$K$345,3,0)&amp;""</f>
        <v>N/A</v>
      </c>
      <c r="D196" s="198" t="str">
        <f>VLOOKUP($A196,'Institution Evaluation'!$A$56:$K$345,4,0)&amp;""</f>
        <v>This question does not apply.</v>
      </c>
      <c r="E196" s="204" t="str">
        <f>VLOOKUP($A196,'Institution Evaluation'!$A$56:$K$345,5,0)&amp;""</f>
        <v xml:space="preserve">Based on the response to REQU-01 on the "START HERE" tab, this question does not apply to this product or service. </v>
      </c>
      <c r="F196" s="207" t="str">
        <f>VLOOKUP($A196,'Institution Evaluation'!$A$56:$K$345,6,0)&amp;""</f>
        <v/>
      </c>
      <c r="G196" s="196" t="str">
        <f>VLOOKUP($A196,'Institution Evaluation'!$A$56:$K$345,7,0)&amp;""</f>
        <v>Yes</v>
      </c>
      <c r="H196" s="197" t="str">
        <f>VLOOKUP($A196,'Institution Evaluation'!$A$56:$K$345,8,0)&amp;""</f>
        <v/>
      </c>
      <c r="I196" s="198" t="str">
        <f>VLOOKUP($A196,'Institution Evaluation'!$A$56:$K$345,9,0)&amp;""</f>
        <v>Critical Importance</v>
      </c>
      <c r="J196" s="251" t="str">
        <f>VLOOKUP($A196,'Institution Evaluation'!$A$56:$K$345,10,0)&amp;""</f>
        <v/>
      </c>
      <c r="K196" s="199" t="str">
        <f>IF(VLOOKUP($A196,'Institution Evaluation'!$A$56:$K$345,10,0)=TRUE(),'Auto Responses'!$J$3,"")</f>
        <v/>
      </c>
    </row>
    <row r="197" spans="1:11" ht="27" customHeight="1" x14ac:dyDescent="0.2">
      <c r="A197" s="36" t="s">
        <v>200</v>
      </c>
      <c r="B197" s="44" t="str">
        <f>VLOOKUP($A197,Questions!$A$2:$X$333,2,0)</f>
        <v>Are audit logs available for all changes to the network, firewall, IDS, and IPS systems?*</v>
      </c>
      <c r="C197" s="198" t="str">
        <f>VLOOKUP($A197,'Institution Evaluation'!$A$56:$K$345,3,0)&amp;""</f>
        <v>N/A</v>
      </c>
      <c r="D197" s="198" t="str">
        <f>VLOOKUP($A197,'Institution Evaluation'!$A$56:$K$345,4,0)&amp;""</f>
        <v>This question does not apply.</v>
      </c>
      <c r="E197" s="204" t="str">
        <f>VLOOKUP($A197,'Institution Evaluation'!$A$56:$K$345,5,0)&amp;""</f>
        <v xml:space="preserve">Based on the response to REQU-01 on the "START HERE" tab, this question does not apply to this product or service. </v>
      </c>
      <c r="F197" s="207" t="str">
        <f>VLOOKUP($A197,'Institution Evaluation'!$A$56:$K$345,6,0)&amp;""</f>
        <v/>
      </c>
      <c r="G197" s="196" t="str">
        <f>VLOOKUP($A197,'Institution Evaluation'!$A$56:$K$345,7,0)&amp;""</f>
        <v>Yes</v>
      </c>
      <c r="H197" s="197" t="str">
        <f>VLOOKUP($A197,'Institution Evaluation'!$A$56:$K$345,8,0)&amp;""</f>
        <v/>
      </c>
      <c r="I197" s="198" t="str">
        <f>VLOOKUP($A197,'Institution Evaluation'!$A$56:$K$345,9,0)&amp;""</f>
        <v>Critical Importance</v>
      </c>
      <c r="J197" s="251" t="str">
        <f>VLOOKUP($A197,'Institution Evaluation'!$A$56:$K$345,10,0)&amp;""</f>
        <v/>
      </c>
      <c r="K197" s="199" t="str">
        <f>IF(VLOOKUP($A197,'Institution Evaluation'!$A$56:$K$345,10,0)=TRUE(),'Auto Responses'!$J$3,"")</f>
        <v/>
      </c>
    </row>
    <row r="198" spans="1:11" ht="27" customHeight="1" x14ac:dyDescent="0.2">
      <c r="A198" s="36" t="s">
        <v>204</v>
      </c>
      <c r="B198" s="44" t="str">
        <f>VLOOKUP($A198,Questions!$A$2:$X$333,2,0)</f>
        <v>Are you employing any next-generation persistent threat (NGPT) monitoring?</v>
      </c>
      <c r="C198" s="198" t="str">
        <f>VLOOKUP($A198,'Institution Evaluation'!$A$56:$K$345,3,0)&amp;""</f>
        <v>N/A</v>
      </c>
      <c r="D198" s="198" t="str">
        <f>VLOOKUP($A198,'Institution Evaluation'!$A$56:$K$345,4,0)&amp;""</f>
        <v>This question does not apply.</v>
      </c>
      <c r="E198" s="204" t="str">
        <f>VLOOKUP($A198,'Institution Evaluation'!$A$56:$K$345,5,0)&amp;""</f>
        <v xml:space="preserve">Based on the response to REQU-01 on the "START HERE" tab, this question does not apply to this product or service. </v>
      </c>
      <c r="F198" s="207" t="str">
        <f>VLOOKUP($A198,'Institution Evaluation'!$A$56:$K$345,6,0)&amp;""</f>
        <v/>
      </c>
      <c r="G198" s="196" t="str">
        <f>VLOOKUP($A198,'Institution Evaluation'!$A$56:$K$345,7,0)&amp;""</f>
        <v>Yes</v>
      </c>
      <c r="H198" s="197" t="str">
        <f>VLOOKUP($A198,'Institution Evaluation'!$A$56:$K$345,8,0)&amp;""</f>
        <v/>
      </c>
      <c r="I198" s="198" t="str">
        <f>VLOOKUP($A198,'Institution Evaluation'!$A$56:$K$345,9,0)&amp;""</f>
        <v>Standard Importance</v>
      </c>
      <c r="J198" s="251" t="str">
        <f>VLOOKUP($A198,'Institution Evaluation'!$A$56:$K$345,10,0)&amp;""</f>
        <v/>
      </c>
      <c r="K198" s="199" t="str">
        <f>IF(VLOOKUP($A198,'Institution Evaluation'!$A$56:$K$345,10,0)=TRUE(),'Auto Responses'!$J$3,"")</f>
        <v/>
      </c>
    </row>
    <row r="199" spans="1:11" s="3" customFormat="1" ht="17.25" customHeight="1" x14ac:dyDescent="0.15">
      <c r="A199" s="32" t="str">
        <f>VLOOKUP(LEFT($A200,4),'Auto Responses'!$N$4:$O$38,2,0)&amp;""</f>
        <v xml:space="preserve"> Policies, Processes, and Procedures</v>
      </c>
      <c r="B199" s="41"/>
      <c r="C199" s="42"/>
      <c r="D199" s="42"/>
      <c r="E199" s="203"/>
      <c r="F199" s="246" t="s">
        <v>468</v>
      </c>
      <c r="G199" s="200" t="s">
        <v>463</v>
      </c>
      <c r="H199" s="200" t="s">
        <v>464</v>
      </c>
      <c r="I199" s="200" t="s">
        <v>465</v>
      </c>
      <c r="J199" s="200" t="s">
        <v>466</v>
      </c>
      <c r="K199" s="42"/>
    </row>
    <row r="200" spans="1:11" ht="45" customHeight="1" x14ac:dyDescent="0.2">
      <c r="A200" s="36" t="s">
        <v>105</v>
      </c>
      <c r="B200" s="44" t="str">
        <f>VLOOKUP($A200,Questions!$A$2:$X$333,2,0)</f>
        <v>Is your company subject to the institution's geographic region's laws and regulations?*</v>
      </c>
      <c r="C200" s="198" t="str">
        <f>VLOOKUP($A200,'Institution Evaluation'!$A$56:$K$345,3,0)&amp;""</f>
        <v>Yes</v>
      </c>
      <c r="D200" s="198" t="str">
        <f>VLOOKUP($A200,'Institution Evaluation'!$A$56:$K$345,4,0)&amp;""</f>
        <v>SmartPLS GmbH is subject to German and EU law (including GDPR) and will contractually agree to comply with applicable requirements of an institution’s jurisdiction as needed.</v>
      </c>
      <c r="E200" s="204" t="str">
        <f>VLOOKUP($A200,'Institution Evaluation'!$A$56:$K$345,5,0)&amp;""</f>
        <v>State the country that governs and regulates your company.</v>
      </c>
      <c r="F200" s="207" t="str">
        <f>VLOOKUP($A200,'Institution Evaluation'!$A$56:$K$345,6,0)&amp;""</f>
        <v/>
      </c>
      <c r="G200" s="196" t="str">
        <f>VLOOKUP($A200,'Institution Evaluation'!$A$56:$K$345,7,0)&amp;""</f>
        <v>Yes</v>
      </c>
      <c r="H200" s="197" t="str">
        <f>VLOOKUP($A200,'Institution Evaluation'!$A$56:$K$345,8,0)&amp;""</f>
        <v/>
      </c>
      <c r="I200" s="198" t="str">
        <f>VLOOKUP($A200,'Institution Evaluation'!$A$56:$K$345,9,0)&amp;""</f>
        <v>Critical Importance</v>
      </c>
      <c r="J200" s="251" t="str">
        <f>VLOOKUP($A200,'Institution Evaluation'!$A$56:$K$345,10,0)&amp;""</f>
        <v/>
      </c>
      <c r="K200" s="199" t="str">
        <f>IF(VLOOKUP($A200,'Institution Evaluation'!$A$56:$K$345,10,0)=TRUE(),'Auto Responses'!$J$3,"")</f>
        <v/>
      </c>
    </row>
    <row r="201" spans="1:11" ht="27" customHeight="1" x14ac:dyDescent="0.2">
      <c r="A201" s="36" t="s">
        <v>107</v>
      </c>
      <c r="B201" s="44" t="str">
        <f>VLOOKUP($A201,Questions!$A$2:$X$333,2,0)</f>
        <v>Can you accommodate encryption requirements using open standards?</v>
      </c>
      <c r="C201" s="198" t="str">
        <f>VLOOKUP($A201,'Institution Evaluation'!$A$56:$K$345,3,0)&amp;""</f>
        <v>Yes</v>
      </c>
      <c r="D201" s="198" t="str">
        <f>VLOOKUP($A201,'Institution Evaluation'!$A$56:$K$345,4,0)&amp;""</f>
        <v>Standard open encryption protocols (e.g., TLS) are used for data in transit to our servers.</v>
      </c>
      <c r="E201" s="204" t="str">
        <f>VLOOKUP($A201,'Institution Evaluation'!$A$56:$K$345,5,0)&amp;""</f>
        <v/>
      </c>
      <c r="F201" s="207" t="str">
        <f>VLOOKUP($A201,'Institution Evaluation'!$A$56:$K$345,6,0)&amp;""</f>
        <v/>
      </c>
      <c r="G201" s="196" t="str">
        <f>VLOOKUP($A201,'Institution Evaluation'!$A$56:$K$345,7,0)&amp;""</f>
        <v>Yes</v>
      </c>
      <c r="H201" s="197" t="str">
        <f>VLOOKUP($A201,'Institution Evaluation'!$A$56:$K$345,8,0)&amp;""</f>
        <v/>
      </c>
      <c r="I201" s="198" t="str">
        <f>VLOOKUP($A201,'Institution Evaluation'!$A$56:$K$345,9,0)&amp;""</f>
        <v>Standard Importance</v>
      </c>
      <c r="J201" s="251" t="str">
        <f>VLOOKUP($A201,'Institution Evaluation'!$A$56:$K$345,10,0)&amp;""</f>
        <v/>
      </c>
      <c r="K201" s="199" t="str">
        <f>IF(VLOOKUP($A201,'Institution Evaluation'!$A$56:$K$345,10,0)=TRUE(),'Auto Responses'!$J$3,"")</f>
        <v/>
      </c>
    </row>
    <row r="202" spans="1:11" ht="27" customHeight="1" x14ac:dyDescent="0.2">
      <c r="A202" s="36" t="s">
        <v>115</v>
      </c>
      <c r="B202" s="44" t="str">
        <f>VLOOKUP($A202,Questions!$A$2:$X$333,2,0)</f>
        <v>Will you comply with applicable breach notification laws?</v>
      </c>
      <c r="C202" s="198" t="str">
        <f>VLOOKUP($A202,'Institution Evaluation'!$A$56:$K$345,3,0)&amp;""</f>
        <v>Yes</v>
      </c>
      <c r="D202" s="198" t="str">
        <f>VLOOKUP($A202,'Institution Evaluation'!$A$56:$K$345,4,0)&amp;""</f>
        <v>SmartPLS GmbH will comply with applicable breach-notification laws, including under GDPR.</v>
      </c>
      <c r="E202" s="204" t="str">
        <f>VLOOKUP($A202,'Institution Evaluation'!$A$56:$K$345,5,0)&amp;""</f>
        <v>State how quickly the institution will be notified of a data breach or security incident.</v>
      </c>
      <c r="F202" s="207" t="str">
        <f>VLOOKUP($A202,'Institution Evaluation'!$A$56:$K$345,6,0)&amp;""</f>
        <v/>
      </c>
      <c r="G202" s="196" t="str">
        <f>VLOOKUP($A202,'Institution Evaluation'!$A$56:$K$345,7,0)&amp;""</f>
        <v>Yes</v>
      </c>
      <c r="H202" s="197" t="str">
        <f>VLOOKUP($A202,'Institution Evaluation'!$A$56:$K$345,8,0)&amp;""</f>
        <v/>
      </c>
      <c r="I202" s="198" t="str">
        <f>VLOOKUP($A202,'Institution Evaluation'!$A$56:$K$345,9,0)&amp;""</f>
        <v>Minor Importance</v>
      </c>
      <c r="J202" s="251" t="str">
        <f>VLOOKUP($A202,'Institution Evaluation'!$A$56:$K$345,10,0)&amp;""</f>
        <v/>
      </c>
      <c r="K202" s="199" t="str">
        <f>IF(VLOOKUP($A202,'Institution Evaluation'!$A$56:$K$345,10,0)=TRUE(),'Auto Responses'!$J$3,"")</f>
        <v/>
      </c>
    </row>
    <row r="203" spans="1:11" ht="27" customHeight="1" x14ac:dyDescent="0.2">
      <c r="A203" s="36" t="s">
        <v>117</v>
      </c>
      <c r="B203" s="44" t="str">
        <f>VLOOKUP($A203,Questions!$A$2:$X$333,2,0)</f>
        <v>Do you have an information security awareness program?</v>
      </c>
      <c r="C203" s="198" t="str">
        <f>VLOOKUP($A203,'Institution Evaluation'!$A$56:$K$345,3,0)&amp;""</f>
        <v>No</v>
      </c>
      <c r="D203" s="198" t="str">
        <f>VLOOKUP($A203,'Institution Evaluation'!$A$56:$K$345,4,0)&amp;""</f>
        <v/>
      </c>
      <c r="E203" s="204" t="str">
        <f>VLOOKUP($A203,'Institution Evaluation'!$A$56:$K$345,5,0)&amp;""</f>
        <v>State plans to implement an information security awareness program.</v>
      </c>
      <c r="F203" s="207" t="str">
        <f>VLOOKUP($A203,'Institution Evaluation'!$A$56:$K$345,6,0)&amp;""</f>
        <v/>
      </c>
      <c r="G203" s="196" t="str">
        <f>VLOOKUP($A203,'Institution Evaluation'!$A$56:$K$345,7,0)&amp;""</f>
        <v>Yes</v>
      </c>
      <c r="H203" s="197" t="str">
        <f>VLOOKUP($A203,'Institution Evaluation'!$A$56:$K$345,8,0)&amp;""</f>
        <v/>
      </c>
      <c r="I203" s="198" t="str">
        <f>VLOOKUP($A203,'Institution Evaluation'!$A$56:$K$345,9,0)&amp;""</f>
        <v>Minor Importance</v>
      </c>
      <c r="J203" s="251" t="str">
        <f>VLOOKUP($A203,'Institution Evaluation'!$A$56:$K$345,10,0)&amp;""</f>
        <v/>
      </c>
      <c r="K203" s="199" t="str">
        <f>IF(VLOOKUP($A203,'Institution Evaluation'!$A$56:$K$345,10,0)=TRUE(),'Auto Responses'!$J$3,"")</f>
        <v/>
      </c>
    </row>
    <row r="204" spans="1:11" ht="27" customHeight="1" x14ac:dyDescent="0.2">
      <c r="A204" s="36" t="s">
        <v>118</v>
      </c>
      <c r="B204" s="44" t="str">
        <f>VLOOKUP($A204,Questions!$A$2:$X$333,2,0)</f>
        <v>Is security awareness training mandatory for all employees?</v>
      </c>
      <c r="C204" s="198" t="str">
        <f>VLOOKUP($A204,'Institution Evaluation'!$A$56:$K$345,3,0)&amp;""</f>
        <v>No</v>
      </c>
      <c r="D204" s="198" t="str">
        <f>VLOOKUP($A204,'Institution Evaluation'!$A$56:$K$345,4,0)&amp;""</f>
        <v/>
      </c>
      <c r="E204" s="204" t="str">
        <f>VLOOKUP($A204,'Institution Evaluation'!$A$56:$K$345,5,0)&amp;""</f>
        <v>State plans to make security awareness training mandatory for all employees.</v>
      </c>
      <c r="F204" s="207" t="str">
        <f>VLOOKUP($A204,'Institution Evaluation'!$A$56:$K$345,6,0)&amp;""</f>
        <v/>
      </c>
      <c r="G204" s="196" t="str">
        <f>VLOOKUP($A204,'Institution Evaluation'!$A$56:$K$345,7,0)&amp;""</f>
        <v>Yes</v>
      </c>
      <c r="H204" s="197" t="str">
        <f>VLOOKUP($A204,'Institution Evaluation'!$A$56:$K$345,8,0)&amp;""</f>
        <v/>
      </c>
      <c r="I204" s="198" t="str">
        <f>VLOOKUP($A204,'Institution Evaluation'!$A$56:$K$345,9,0)&amp;""</f>
        <v>Minor Importance</v>
      </c>
      <c r="J204" s="251" t="str">
        <f>VLOOKUP($A204,'Institution Evaluation'!$A$56:$K$345,10,0)&amp;""</f>
        <v/>
      </c>
      <c r="K204" s="199" t="str">
        <f>IF(VLOOKUP($A204,'Institution Evaluation'!$A$56:$K$345,10,0)=TRUE(),'Auto Responses'!$J$3,"")</f>
        <v/>
      </c>
    </row>
    <row r="205" spans="1:11" ht="40.5" customHeight="1" x14ac:dyDescent="0.2">
      <c r="A205" s="36" t="s">
        <v>120</v>
      </c>
      <c r="B205" s="44" t="str">
        <f>VLOOKUP($A205,Questions!$A$2:$X$333,2,0)</f>
        <v>Do you have documented, and currently implemented, internal audit processes and procedures?</v>
      </c>
      <c r="C205" s="198" t="str">
        <f>VLOOKUP($A205,'Institution Evaluation'!$A$56:$K$345,3,0)&amp;""</f>
        <v>No</v>
      </c>
      <c r="D205" s="198" t="str">
        <f>VLOOKUP($A205,'Institution Evaluation'!$A$56:$K$345,4,0)&amp;""</f>
        <v/>
      </c>
      <c r="E205" s="204" t="str">
        <f>VLOOKUP($A205,'Institution Evaluation'!$A$56:$K$345,5,0)&amp;""</f>
        <v>State plans to document and implement internal audit process and procedure in your environment.</v>
      </c>
      <c r="F205" s="207" t="str">
        <f>VLOOKUP($A205,'Institution Evaluation'!$A$56:$K$345,6,0)&amp;""</f>
        <v/>
      </c>
      <c r="G205" s="196" t="str">
        <f>VLOOKUP($A205,'Institution Evaluation'!$A$56:$K$345,7,0)&amp;""</f>
        <v>Yes</v>
      </c>
      <c r="H205" s="197" t="str">
        <f>VLOOKUP($A205,'Institution Evaluation'!$A$56:$K$345,8,0)&amp;""</f>
        <v/>
      </c>
      <c r="I205" s="198" t="str">
        <f>VLOOKUP($A205,'Institution Evaluation'!$A$56:$K$345,9,0)&amp;""</f>
        <v>Minor Importance</v>
      </c>
      <c r="J205" s="251" t="str">
        <f>VLOOKUP($A205,'Institution Evaluation'!$A$56:$K$345,10,0)&amp;""</f>
        <v/>
      </c>
      <c r="K205" s="199" t="str">
        <f>IF(VLOOKUP($A205,'Institution Evaluation'!$A$56:$K$345,10,0)=TRUE(),'Auto Responses'!$J$3,"")</f>
        <v/>
      </c>
    </row>
    <row r="206" spans="1:11" ht="27" customHeight="1" x14ac:dyDescent="0.2">
      <c r="A206" s="36" t="s">
        <v>121</v>
      </c>
      <c r="B206" s="44" t="str">
        <f>VLOOKUP($A206,Questions!$A$2:$X$333,2,0)</f>
        <v>Does your organization have physical security controls and policies in place?</v>
      </c>
      <c r="C206" s="198" t="str">
        <f>VLOOKUP($A206,'Institution Evaluation'!$A$56:$K$345,3,0)&amp;""</f>
        <v>Yes</v>
      </c>
      <c r="D206" s="198" t="str">
        <f>VLOOKUP($A206,'Institution Evaluation'!$A$56:$K$345,4,0)&amp;""</f>
        <v>As a small, distributed team working from private home/office premises, physical security consists of standard locked premises; there are no shared offices or data centers to secure.</v>
      </c>
      <c r="E206" s="204" t="str">
        <f>VLOOKUP($A206,'Institution Evaluation'!$A$56:$K$345,5,0)&amp;""</f>
        <v>Provide a copy of your physical security controls and policies along with this document (link or attached).</v>
      </c>
      <c r="F206" s="207" t="str">
        <f>VLOOKUP($A206,'Institution Evaluation'!$A$56:$K$345,6,0)&amp;""</f>
        <v/>
      </c>
      <c r="G206" s="196" t="str">
        <f>VLOOKUP($A206,'Institution Evaluation'!$A$56:$K$345,7,0)&amp;""</f>
        <v>Yes</v>
      </c>
      <c r="H206" s="197" t="str">
        <f>VLOOKUP($A206,'Institution Evaluation'!$A$56:$K$345,8,0)&amp;""</f>
        <v/>
      </c>
      <c r="I206" s="198" t="str">
        <f>VLOOKUP($A206,'Institution Evaluation'!$A$56:$K$345,9,0)&amp;""</f>
        <v>Minor Importance</v>
      </c>
      <c r="J206" s="251" t="str">
        <f>VLOOKUP($A206,'Institution Evaluation'!$A$56:$K$345,10,0)&amp;""</f>
        <v/>
      </c>
      <c r="K206" s="199" t="str">
        <f>IF(VLOOKUP($A206,'Institution Evaluation'!$A$56:$K$345,10,0)=TRUE(),'Auto Responses'!$J$3,"")</f>
        <v/>
      </c>
    </row>
    <row r="207" spans="1:11" s="3" customFormat="1" ht="17.25" customHeight="1" x14ac:dyDescent="0.15">
      <c r="A207" s="32" t="str">
        <f>VLOOKUP(LEFT($A208,4),'Auto Responses'!$N$4:$O$38,2,0)&amp;""</f>
        <v xml:space="preserve"> Incident Handling</v>
      </c>
      <c r="B207" s="41"/>
      <c r="C207" s="42"/>
      <c r="D207" s="42"/>
      <c r="E207" s="203"/>
      <c r="F207" s="246" t="s">
        <v>468</v>
      </c>
      <c r="G207" s="200" t="s">
        <v>463</v>
      </c>
      <c r="H207" s="200" t="s">
        <v>464</v>
      </c>
      <c r="I207" s="200" t="s">
        <v>465</v>
      </c>
      <c r="J207" s="200" t="s">
        <v>466</v>
      </c>
      <c r="K207" s="42"/>
    </row>
    <row r="208" spans="1:11" ht="15" customHeight="1" x14ac:dyDescent="0.2">
      <c r="A208" s="36" t="s">
        <v>207</v>
      </c>
      <c r="B208" s="44" t="str">
        <f>VLOOKUP($A208,Questions!$A$2:$X$333,2,0)</f>
        <v>Do you have a formal incident response plan?</v>
      </c>
      <c r="C208" s="198" t="str">
        <f>VLOOKUP($A208,'Institution Evaluation'!$A$56:$K$345,3,0)&amp;""</f>
        <v>N/A</v>
      </c>
      <c r="D208" s="198" t="str">
        <f>VLOOKUP($A208,'Institution Evaluation'!$A$56:$K$345,4,0)&amp;""</f>
        <v>This question does not apply.</v>
      </c>
      <c r="E208" s="204" t="str">
        <f>VLOOKUP($A208,'Institution Evaluation'!$A$56:$K$345,5,0)&amp;""</f>
        <v xml:space="preserve">Based on the response to REQU-01 on the "START HERE" tab, this question does not apply to this product or service. </v>
      </c>
      <c r="F208" s="207" t="str">
        <f>VLOOKUP($A208,'Institution Evaluation'!$A$56:$K$345,6,0)&amp;""</f>
        <v/>
      </c>
      <c r="G208" s="196" t="str">
        <f>VLOOKUP($A208,'Institution Evaluation'!$A$56:$K$345,7,0)&amp;""</f>
        <v>Yes</v>
      </c>
      <c r="H208" s="197" t="str">
        <f>VLOOKUP($A208,'Institution Evaluation'!$A$56:$K$345,8,0)&amp;""</f>
        <v/>
      </c>
      <c r="I208" s="198" t="str">
        <f>VLOOKUP($A208,'Institution Evaluation'!$A$56:$K$345,9,0)&amp;""</f>
        <v>Standard Importance</v>
      </c>
      <c r="J208" s="251" t="str">
        <f>VLOOKUP($A208,'Institution Evaluation'!$A$56:$K$345,10,0)&amp;""</f>
        <v/>
      </c>
      <c r="K208" s="199" t="str">
        <f>IF(VLOOKUP($A208,'Institution Evaluation'!$A$56:$K$345,10,0)=TRUE(),'Auto Responses'!$J$3,"")</f>
        <v/>
      </c>
    </row>
    <row r="209" spans="1:11" ht="27" customHeight="1" x14ac:dyDescent="0.2">
      <c r="A209" s="36" t="s">
        <v>208</v>
      </c>
      <c r="B209" s="44" t="str">
        <f>VLOOKUP($A209,Questions!$A$2:$X$333,2,0)</f>
        <v>Do you either have an internal incident response team or retain an external team?</v>
      </c>
      <c r="C209" s="198" t="str">
        <f>VLOOKUP($A209,'Institution Evaluation'!$A$56:$K$345,3,0)&amp;""</f>
        <v>N/A</v>
      </c>
      <c r="D209" s="198" t="str">
        <f>VLOOKUP($A209,'Institution Evaluation'!$A$56:$K$345,4,0)&amp;""</f>
        <v>This question does not apply.</v>
      </c>
      <c r="E209" s="204" t="str">
        <f>VLOOKUP($A209,'Institution Evaluation'!$A$56:$K$345,5,0)&amp;""</f>
        <v xml:space="preserve">Based on the response to REQU-01 on the "START HERE" tab, this question does not apply to this product or service. </v>
      </c>
      <c r="F209" s="207" t="str">
        <f>VLOOKUP($A209,'Institution Evaluation'!$A$56:$K$345,6,0)&amp;""</f>
        <v/>
      </c>
      <c r="G209" s="196" t="str">
        <f>VLOOKUP($A209,'Institution Evaluation'!$A$56:$K$345,7,0)&amp;""</f>
        <v>Yes</v>
      </c>
      <c r="H209" s="197" t="str">
        <f>VLOOKUP($A209,'Institution Evaluation'!$A$56:$K$345,8,0)&amp;""</f>
        <v/>
      </c>
      <c r="I209" s="198" t="str">
        <f>VLOOKUP($A209,'Institution Evaluation'!$A$56:$K$345,9,0)&amp;""</f>
        <v>Minor Importance</v>
      </c>
      <c r="J209" s="251" t="str">
        <f>VLOOKUP($A209,'Institution Evaluation'!$A$56:$K$345,10,0)&amp;""</f>
        <v/>
      </c>
      <c r="K209" s="199" t="str">
        <f>IF(VLOOKUP($A209,'Institution Evaluation'!$A$56:$K$345,10,0)=TRUE(),'Auto Responses'!$J$3,"")</f>
        <v/>
      </c>
    </row>
    <row r="210" spans="1:11" ht="27" customHeight="1" x14ac:dyDescent="0.2">
      <c r="A210" s="36" t="s">
        <v>209</v>
      </c>
      <c r="B210" s="44" t="str">
        <f>VLOOKUP($A210,Questions!$A$2:$X$333,2,0)</f>
        <v>Do you have the capability to respond to incidents on a 24 x 7 x 365 basis?</v>
      </c>
      <c r="C210" s="198" t="str">
        <f>VLOOKUP($A210,'Institution Evaluation'!$A$56:$K$345,3,0)&amp;""</f>
        <v>N/A</v>
      </c>
      <c r="D210" s="198" t="str">
        <f>VLOOKUP($A210,'Institution Evaluation'!$A$56:$K$345,4,0)&amp;""</f>
        <v>This question does not apply.</v>
      </c>
      <c r="E210" s="204" t="str">
        <f>VLOOKUP($A210,'Institution Evaluation'!$A$56:$K$345,5,0)&amp;""</f>
        <v xml:space="preserve">Based on the response to REQU-01 on the "START HERE" tab, this question does not apply to this product or service. </v>
      </c>
      <c r="F210" s="207" t="str">
        <f>VLOOKUP($A210,'Institution Evaluation'!$A$56:$K$345,6,0)&amp;""</f>
        <v/>
      </c>
      <c r="G210" s="196" t="str">
        <f>VLOOKUP($A210,'Institution Evaluation'!$A$56:$K$345,7,0)&amp;""</f>
        <v>Yes</v>
      </c>
      <c r="H210" s="197" t="str">
        <f>VLOOKUP($A210,'Institution Evaluation'!$A$56:$K$345,8,0)&amp;""</f>
        <v/>
      </c>
      <c r="I210" s="198" t="str">
        <f>VLOOKUP($A210,'Institution Evaluation'!$A$56:$K$345,9,0)&amp;""</f>
        <v>Minor Importance</v>
      </c>
      <c r="J210" s="251" t="str">
        <f>VLOOKUP($A210,'Institution Evaluation'!$A$56:$K$345,10,0)&amp;""</f>
        <v/>
      </c>
      <c r="K210" s="199" t="str">
        <f>IF(VLOOKUP($A210,'Institution Evaluation'!$A$56:$K$345,10,0)=TRUE(),'Auto Responses'!$J$3,"")</f>
        <v/>
      </c>
    </row>
    <row r="211" spans="1:11" ht="40.5" customHeight="1" x14ac:dyDescent="0.2">
      <c r="A211" s="36" t="s">
        <v>210</v>
      </c>
      <c r="B211" s="44" t="str">
        <f>VLOOKUP($A211,Questions!$A$2:$X$333,2,0)</f>
        <v>Do you carry cyber-risk insurance to protect against unforeseen service outages, data that is lost or stolen, and security incidents?</v>
      </c>
      <c r="C211" s="198" t="str">
        <f>VLOOKUP($A211,'Institution Evaluation'!$A$56:$K$345,3,0)&amp;""</f>
        <v>N/A</v>
      </c>
      <c r="D211" s="198" t="str">
        <f>VLOOKUP($A211,'Institution Evaluation'!$A$56:$K$345,4,0)&amp;""</f>
        <v>This question does not apply.</v>
      </c>
      <c r="E211" s="204" t="str">
        <f>VLOOKUP($A211,'Institution Evaluation'!$A$56:$K$345,5,0)&amp;""</f>
        <v xml:space="preserve">Based on the response to REQU-01 on the "START HERE" tab, this question does not apply to this product or service. </v>
      </c>
      <c r="F211" s="207" t="str">
        <f>VLOOKUP($A211,'Institution Evaluation'!$A$56:$K$345,6,0)&amp;""</f>
        <v/>
      </c>
      <c r="G211" s="196" t="str">
        <f>VLOOKUP($A211,'Institution Evaluation'!$A$56:$K$345,7,0)&amp;""</f>
        <v>Yes</v>
      </c>
      <c r="H211" s="197" t="str">
        <f>VLOOKUP($A211,'Institution Evaluation'!$A$56:$K$345,8,0)&amp;""</f>
        <v/>
      </c>
      <c r="I211" s="198" t="str">
        <f>VLOOKUP($A211,'Institution Evaluation'!$A$56:$K$345,9,0)&amp;""</f>
        <v>Minor Importance</v>
      </c>
      <c r="J211" s="251" t="str">
        <f>VLOOKUP($A211,'Institution Evaluation'!$A$56:$K$345,10,0)&amp;""</f>
        <v/>
      </c>
      <c r="K211" s="199" t="str">
        <f>IF(VLOOKUP($A211,'Institution Evaluation'!$A$56:$K$345,10,0)=TRUE(),'Auto Responses'!$J$3,"")</f>
        <v/>
      </c>
    </row>
    <row r="212" spans="1:11" s="3" customFormat="1" ht="17.25" customHeight="1" x14ac:dyDescent="0.15">
      <c r="A212" s="32" t="str">
        <f>VLOOKUP(LEFT($A213,4),'Auto Responses'!$N$4:$O$38,2,0)&amp;""</f>
        <v xml:space="preserve"> Vulnerability Management</v>
      </c>
      <c r="B212" s="41"/>
      <c r="C212" s="42"/>
      <c r="D212" s="42"/>
      <c r="E212" s="203"/>
      <c r="F212" s="246" t="s">
        <v>468</v>
      </c>
      <c r="G212" s="200" t="s">
        <v>463</v>
      </c>
      <c r="H212" s="200" t="s">
        <v>464</v>
      </c>
      <c r="I212" s="200" t="s">
        <v>465</v>
      </c>
      <c r="J212" s="200" t="s">
        <v>466</v>
      </c>
      <c r="K212" s="42"/>
    </row>
    <row r="213" spans="1:11" ht="40.5" customHeight="1" x14ac:dyDescent="0.2">
      <c r="A213" s="36" t="s">
        <v>211</v>
      </c>
      <c r="B213" s="44" t="str">
        <f>VLOOKUP($A213,Questions!$A$2:$X$333,2,0)</f>
        <v>Are your systems and applications scanned with an authenticated user account for vulnerabilities (that are remediated) prior to new releases?*</v>
      </c>
      <c r="C213" s="198" t="str">
        <f>VLOOKUP($A213,'Institution Evaluation'!$A$56:$K$345,3,0)&amp;""</f>
        <v>N/A</v>
      </c>
      <c r="D213" s="198" t="str">
        <f>VLOOKUP($A213,'Institution Evaluation'!$A$56:$K$345,4,0)&amp;""</f>
        <v>This question does not apply.</v>
      </c>
      <c r="E213" s="204" t="str">
        <f>VLOOKUP($A213,'Institution Evaluation'!$A$56:$K$345,5,0)&amp;""</f>
        <v xml:space="preserve">Based on the response to REQU-01 on the "START HERE" tab, this question does not apply to this product or service. </v>
      </c>
      <c r="F213" s="207" t="str">
        <f>VLOOKUP($A213,'Institution Evaluation'!$A$56:$K$345,6,0)&amp;""</f>
        <v/>
      </c>
      <c r="G213" s="196" t="str">
        <f>VLOOKUP($A213,'Institution Evaluation'!$A$56:$K$345,7,0)&amp;""</f>
        <v>Yes</v>
      </c>
      <c r="H213" s="197" t="str">
        <f>VLOOKUP($A213,'Institution Evaluation'!$A$56:$K$345,8,0)&amp;""</f>
        <v/>
      </c>
      <c r="I213" s="198" t="str">
        <f>VLOOKUP($A213,'Institution Evaluation'!$A$56:$K$345,9,0)&amp;""</f>
        <v>Critical Importance</v>
      </c>
      <c r="J213" s="251" t="str">
        <f>VLOOKUP($A213,'Institution Evaluation'!$A$56:$K$345,10,0)&amp;""</f>
        <v/>
      </c>
      <c r="K213" s="199" t="str">
        <f>IF(VLOOKUP($A213,'Institution Evaluation'!$A$56:$K$345,10,0)=TRUE(),'Auto Responses'!$J$3,"")</f>
        <v/>
      </c>
    </row>
    <row r="214" spans="1:11" ht="27" customHeight="1" x14ac:dyDescent="0.2">
      <c r="A214" s="36" t="s">
        <v>212</v>
      </c>
      <c r="B214" s="44" t="str">
        <f>VLOOKUP($A214,Questions!$A$2:$X$333,2,0)</f>
        <v>Will you provide results of application and system vulnerability scans to the institution?*</v>
      </c>
      <c r="C214" s="198" t="str">
        <f>VLOOKUP($A214,'Institution Evaluation'!$A$56:$K$345,3,0)&amp;""</f>
        <v>N/A</v>
      </c>
      <c r="D214" s="198" t="str">
        <f>VLOOKUP($A214,'Institution Evaluation'!$A$56:$K$345,4,0)&amp;""</f>
        <v>This question does not apply.</v>
      </c>
      <c r="E214" s="204" t="str">
        <f>VLOOKUP($A214,'Institution Evaluation'!$A$56:$K$345,5,0)&amp;""</f>
        <v xml:space="preserve">Based on the response to REQU-01 on the "START HERE" tab, this question does not apply to this product or service. </v>
      </c>
      <c r="F214" s="207" t="str">
        <f>VLOOKUP($A214,'Institution Evaluation'!$A$56:$K$345,6,0)&amp;""</f>
        <v/>
      </c>
      <c r="G214" s="196" t="str">
        <f>VLOOKUP($A214,'Institution Evaluation'!$A$56:$K$345,7,0)&amp;""</f>
        <v>Yes</v>
      </c>
      <c r="H214" s="197" t="str">
        <f>VLOOKUP($A214,'Institution Evaluation'!$A$56:$K$345,8,0)&amp;""</f>
        <v/>
      </c>
      <c r="I214" s="198" t="str">
        <f>VLOOKUP($A214,'Institution Evaluation'!$A$56:$K$345,9,0)&amp;""</f>
        <v>Critical Importance</v>
      </c>
      <c r="J214" s="251" t="str">
        <f>VLOOKUP($A214,'Institution Evaluation'!$A$56:$K$345,10,0)&amp;""</f>
        <v/>
      </c>
      <c r="K214" s="199" t="str">
        <f>IF(VLOOKUP($A214,'Institution Evaluation'!$A$56:$K$345,10,0)=TRUE(),'Auto Responses'!$J$3,"")</f>
        <v/>
      </c>
    </row>
    <row r="215" spans="1:11" ht="27" customHeight="1" x14ac:dyDescent="0.2">
      <c r="A215" s="36" t="s">
        <v>214</v>
      </c>
      <c r="B215" s="44" t="str">
        <f>VLOOKUP($A215,Questions!$A$2:$X$333,2,0)</f>
        <v>Have your systems and applications had a third-party security assessment completed in the last year?</v>
      </c>
      <c r="C215" s="198" t="str">
        <f>VLOOKUP($A215,'Institution Evaluation'!$A$56:$K$345,3,0)&amp;""</f>
        <v>N/A</v>
      </c>
      <c r="D215" s="198" t="str">
        <f>VLOOKUP($A215,'Institution Evaluation'!$A$56:$K$345,4,0)&amp;""</f>
        <v>This question does not apply.</v>
      </c>
      <c r="E215" s="204" t="str">
        <f>VLOOKUP($A215,'Institution Evaluation'!$A$56:$K$345,5,0)&amp;""</f>
        <v xml:space="preserve">Based on the response to REQU-01 on the "START HERE" tab, this question does not apply to this product or service. </v>
      </c>
      <c r="F215" s="207" t="str">
        <f>VLOOKUP($A215,'Institution Evaluation'!$A$56:$K$345,6,0)&amp;""</f>
        <v/>
      </c>
      <c r="G215" s="196" t="str">
        <f>VLOOKUP($A215,'Institution Evaluation'!$A$56:$K$345,7,0)&amp;""</f>
        <v>Yes</v>
      </c>
      <c r="H215" s="197" t="str">
        <f>VLOOKUP($A215,'Institution Evaluation'!$A$56:$K$345,8,0)&amp;""</f>
        <v/>
      </c>
      <c r="I215" s="198" t="str">
        <f>VLOOKUP($A215,'Institution Evaluation'!$A$56:$K$345,9,0)&amp;""</f>
        <v>Standard Importance</v>
      </c>
      <c r="J215" s="251" t="str">
        <f>VLOOKUP($A215,'Institution Evaluation'!$A$56:$K$345,10,0)&amp;""</f>
        <v/>
      </c>
      <c r="K215" s="199" t="str">
        <f>IF(VLOOKUP($A215,'Institution Evaluation'!$A$56:$K$345,10,0)=TRUE(),'Auto Responses'!$J$3,"")</f>
        <v/>
      </c>
    </row>
    <row r="216" spans="1:11" ht="27" customHeight="1" x14ac:dyDescent="0.2">
      <c r="A216" s="36" t="s">
        <v>216</v>
      </c>
      <c r="B216" s="44" t="str">
        <f>VLOOKUP($A216,Questions!$A$2:$X$333,2,0)</f>
        <v>Are your systems and applications regularly scanned externally for vulnerabilities?</v>
      </c>
      <c r="C216" s="198" t="str">
        <f>VLOOKUP($A216,'Institution Evaluation'!$A$56:$K$345,3,0)&amp;""</f>
        <v>N/A</v>
      </c>
      <c r="D216" s="198" t="str">
        <f>VLOOKUP($A216,'Institution Evaluation'!$A$56:$K$345,4,0)&amp;""</f>
        <v>This question does not apply.</v>
      </c>
      <c r="E216" s="204" t="str">
        <f>VLOOKUP($A216,'Institution Evaluation'!$A$56:$K$345,5,0)&amp;""</f>
        <v xml:space="preserve">Based on the response to REQU-01 on the "START HERE" tab, this question does not apply to this product or service. </v>
      </c>
      <c r="F216" s="207" t="str">
        <f>VLOOKUP($A216,'Institution Evaluation'!$A$56:$K$345,6,0)&amp;""</f>
        <v/>
      </c>
      <c r="G216" s="196" t="str">
        <f>VLOOKUP($A216,'Institution Evaluation'!$A$56:$K$345,7,0)&amp;""</f>
        <v>Yes</v>
      </c>
      <c r="H216" s="197" t="str">
        <f>VLOOKUP($A216,'Institution Evaluation'!$A$56:$K$345,8,0)&amp;""</f>
        <v/>
      </c>
      <c r="I216" s="198" t="str">
        <f>VLOOKUP($A216,'Institution Evaluation'!$A$56:$K$345,9,0)&amp;""</f>
        <v>Minor Importance</v>
      </c>
      <c r="J216" s="251" t="str">
        <f>VLOOKUP($A216,'Institution Evaluation'!$A$56:$K$345,10,0)&amp;""</f>
        <v/>
      </c>
      <c r="K216" s="199" t="str">
        <f>IF(VLOOKUP($A216,'Institution Evaluation'!$A$56:$K$345,10,0)=TRUE(),'Auto Responses'!$J$3,"")</f>
        <v/>
      </c>
    </row>
    <row r="217" spans="1:11" s="3" customFormat="1" ht="17.25" customHeight="1" x14ac:dyDescent="0.15">
      <c r="A217" s="32" t="str">
        <f>VLOOKUP(LEFT($A218,4),'Auto Responses'!$N$4:$O$38,2,0)&amp;""</f>
        <v xml:space="preserve">HIPAA Compliance </v>
      </c>
      <c r="B217" s="41"/>
      <c r="C217" s="42"/>
      <c r="D217" s="42"/>
      <c r="E217" s="203"/>
      <c r="F217" s="246" t="s">
        <v>468</v>
      </c>
      <c r="G217" s="200" t="s">
        <v>463</v>
      </c>
      <c r="H217" s="200" t="s">
        <v>464</v>
      </c>
      <c r="I217" s="200" t="s">
        <v>465</v>
      </c>
      <c r="J217" s="200" t="s">
        <v>466</v>
      </c>
      <c r="K217" s="42"/>
    </row>
    <row r="218" spans="1:11" ht="60" customHeight="1" x14ac:dyDescent="0.2">
      <c r="A218" s="36" t="s">
        <v>249</v>
      </c>
      <c r="B218" s="44" t="str">
        <f>VLOOKUP($A218,Questions!$A$2:$X$333,2,0)</f>
        <v>Do your workforce members receive regular training related to the Health Insurance Portability and Accountability Act (HIPAA) Privacy and Security Rules and the HITECH Act?*</v>
      </c>
      <c r="C218" s="198" t="str">
        <f>VLOOKUP($A218,'Institution Evaluation'!$A$56:$K$345,3,0)&amp;""</f>
        <v>N/A</v>
      </c>
      <c r="D218" s="198" t="str">
        <f>VLOOKUP($A218,'Institution Evaluation'!$A$56:$K$345,4,0)&amp;""</f>
        <v>This question does not apply.</v>
      </c>
      <c r="E218" s="204" t="str">
        <f>VLOOKUP($A218,'Institution Evaluation'!$A$56:$K$345,5,0)&amp;""</f>
        <v>Based on the response to REQU-05 on the "START HERE" tab, this question does not apply to this product or service.</v>
      </c>
      <c r="F218" s="207" t="str">
        <f>VLOOKUP($A218,'Institution Evaluation'!$A$56:$K$345,6,0)&amp;""</f>
        <v/>
      </c>
      <c r="G218" s="196" t="str">
        <f>VLOOKUP($A218,'Institution Evaluation'!$A$56:$K$345,7,0)&amp;""</f>
        <v>Yes</v>
      </c>
      <c r="H218" s="197" t="str">
        <f>VLOOKUP($A218,'Institution Evaluation'!$A$56:$K$345,8,0)&amp;""</f>
        <v/>
      </c>
      <c r="I218" s="198" t="str">
        <f>VLOOKUP($A218,'Institution Evaluation'!$A$56:$K$345,9,0)&amp;""</f>
        <v>Critical Importance</v>
      </c>
      <c r="J218" s="251" t="str">
        <f>VLOOKUP($A218,'Institution Evaluation'!$A$56:$K$345,10,0)&amp;""</f>
        <v/>
      </c>
      <c r="K218" s="199" t="str">
        <f>IF(VLOOKUP($A218,'Institution Evaluation'!$A$56:$K$345,10,0)=TRUE(),'Auto Responses'!$J$3,"")</f>
        <v/>
      </c>
    </row>
    <row r="219" spans="1:11" ht="60" customHeight="1" x14ac:dyDescent="0.2">
      <c r="A219" s="36" t="s">
        <v>250</v>
      </c>
      <c r="B219" s="44" t="str">
        <f>VLOOKUP($A219,Questions!$A$2:$X$333,2,0)</f>
        <v>Have you identified areas of risk?*</v>
      </c>
      <c r="C219" s="198" t="str">
        <f>VLOOKUP($A219,'Institution Evaluation'!$A$56:$K$345,3,0)&amp;""</f>
        <v>N/A</v>
      </c>
      <c r="D219" s="198" t="str">
        <f>VLOOKUP($A219,'Institution Evaluation'!$A$56:$K$345,4,0)&amp;""</f>
        <v>This question does not apply.</v>
      </c>
      <c r="E219" s="204" t="str">
        <f>VLOOKUP($A219,'Institution Evaluation'!$A$56:$K$345,5,0)&amp;""</f>
        <v>Based on the response to REQU-05 on the "START HERE" tab, this question does not apply to this product or service.</v>
      </c>
      <c r="F219" s="207" t="str">
        <f>VLOOKUP($A219,'Institution Evaluation'!$A$56:$K$345,6,0)&amp;""</f>
        <v/>
      </c>
      <c r="G219" s="196" t="str">
        <f>VLOOKUP($A219,'Institution Evaluation'!$A$56:$K$345,7,0)&amp;""</f>
        <v>Yes</v>
      </c>
      <c r="H219" s="197" t="str">
        <f>VLOOKUP($A219,'Institution Evaluation'!$A$56:$K$345,8,0)&amp;""</f>
        <v/>
      </c>
      <c r="I219" s="198" t="str">
        <f>VLOOKUP($A219,'Institution Evaluation'!$A$56:$K$345,9,0)&amp;""</f>
        <v>Critical Importance</v>
      </c>
      <c r="J219" s="251" t="str">
        <f>VLOOKUP($A219,'Institution Evaluation'!$A$56:$K$345,10,0)&amp;""</f>
        <v/>
      </c>
      <c r="K219" s="199" t="str">
        <f>IF(VLOOKUP($A219,'Institution Evaluation'!$A$56:$K$345,10,0)=TRUE(),'Auto Responses'!$J$3,"")</f>
        <v/>
      </c>
    </row>
    <row r="220" spans="1:11" ht="60" customHeight="1" x14ac:dyDescent="0.2">
      <c r="A220" s="36" t="s">
        <v>251</v>
      </c>
      <c r="B220" s="44" t="str">
        <f>VLOOKUP($A220,Questions!$A$2:$X$333,2,0)</f>
        <v>Have the relevant policies/plans been tested?*</v>
      </c>
      <c r="C220" s="198" t="str">
        <f>VLOOKUP($A220,'Institution Evaluation'!$A$56:$K$345,3,0)&amp;""</f>
        <v>N/A</v>
      </c>
      <c r="D220" s="198" t="str">
        <f>VLOOKUP($A220,'Institution Evaluation'!$A$56:$K$345,4,0)&amp;""</f>
        <v>This question does not apply.</v>
      </c>
      <c r="E220" s="204" t="str">
        <f>VLOOKUP($A220,'Institution Evaluation'!$A$56:$K$345,5,0)&amp;""</f>
        <v>Based on the response to REQU-05 on the "START HERE" tab, this question does not apply to this product or service.</v>
      </c>
      <c r="F220" s="207" t="str">
        <f>VLOOKUP($A220,'Institution Evaluation'!$A$56:$K$345,6,0)&amp;""</f>
        <v/>
      </c>
      <c r="G220" s="196" t="str">
        <f>VLOOKUP($A220,'Institution Evaluation'!$A$56:$K$345,7,0)&amp;""</f>
        <v>Yes</v>
      </c>
      <c r="H220" s="197" t="str">
        <f>VLOOKUP($A220,'Institution Evaluation'!$A$56:$K$345,8,0)&amp;""</f>
        <v/>
      </c>
      <c r="I220" s="198" t="str">
        <f>VLOOKUP($A220,'Institution Evaluation'!$A$56:$K$345,9,0)&amp;""</f>
        <v>Critical Importance</v>
      </c>
      <c r="J220" s="251" t="str">
        <f>VLOOKUP($A220,'Institution Evaluation'!$A$56:$K$345,10,0)&amp;""</f>
        <v/>
      </c>
      <c r="K220" s="199" t="str">
        <f>IF(VLOOKUP($A220,'Institution Evaluation'!$A$56:$K$345,10,0)=TRUE(),'Auto Responses'!$J$3,"")</f>
        <v/>
      </c>
    </row>
    <row r="221" spans="1:11" ht="60" customHeight="1" x14ac:dyDescent="0.2">
      <c r="A221" s="36" t="s">
        <v>252</v>
      </c>
      <c r="B221" s="44" t="str">
        <f>VLOOKUP($A221,Questions!$A$2:$X$333,2,0)</f>
        <v>Have you entered into a Business Associate Agreements with all subcontractors who may have access to protected health information (PHI)?*</v>
      </c>
      <c r="C221" s="198" t="str">
        <f>VLOOKUP($A221,'Institution Evaluation'!$A$56:$K$345,3,0)&amp;""</f>
        <v>N/A</v>
      </c>
      <c r="D221" s="198" t="str">
        <f>VLOOKUP($A221,'Institution Evaluation'!$A$56:$K$345,4,0)&amp;""</f>
        <v>This question does not apply.</v>
      </c>
      <c r="E221" s="204" t="str">
        <f>VLOOKUP($A221,'Institution Evaluation'!$A$56:$K$345,5,0)&amp;""</f>
        <v>Based on the response to REQU-05 on the "START HERE" tab, this question does not apply to this product or service.</v>
      </c>
      <c r="F221" s="207" t="str">
        <f>VLOOKUP($A221,'Institution Evaluation'!$A$56:$K$345,6,0)&amp;""</f>
        <v/>
      </c>
      <c r="G221" s="196" t="str">
        <f>VLOOKUP($A221,'Institution Evaluation'!$A$56:$K$345,7,0)&amp;""</f>
        <v>Yes</v>
      </c>
      <c r="H221" s="197" t="str">
        <f>VLOOKUP($A221,'Institution Evaluation'!$A$56:$K$345,8,0)&amp;""</f>
        <v/>
      </c>
      <c r="I221" s="198" t="str">
        <f>VLOOKUP($A221,'Institution Evaluation'!$A$56:$K$345,9,0)&amp;""</f>
        <v>Critical Importance</v>
      </c>
      <c r="J221" s="251" t="str">
        <f>VLOOKUP($A221,'Institution Evaluation'!$A$56:$K$345,10,0)&amp;""</f>
        <v/>
      </c>
      <c r="K221" s="199" t="str">
        <f>IF(VLOOKUP($A221,'Institution Evaluation'!$A$56:$K$345,10,0)=TRUE(),'Auto Responses'!$J$3,"")</f>
        <v/>
      </c>
    </row>
    <row r="222" spans="1:11" ht="60" customHeight="1" x14ac:dyDescent="0.2">
      <c r="A222" s="36" t="s">
        <v>253</v>
      </c>
      <c r="B222" s="44" t="str">
        <f>VLOOKUP($A222,Questions!$A$2:$X$333,2,0)</f>
        <v>Do you monitor or receive information regarding changes in HIPAA regulations?</v>
      </c>
      <c r="C222" s="198" t="str">
        <f>VLOOKUP($A222,'Institution Evaluation'!$A$56:$K$345,3,0)&amp;""</f>
        <v>N/A</v>
      </c>
      <c r="D222" s="198" t="str">
        <f>VLOOKUP($A222,'Institution Evaluation'!$A$56:$K$345,4,0)&amp;""</f>
        <v>This question does not apply.</v>
      </c>
      <c r="E222" s="204" t="str">
        <f>VLOOKUP($A222,'Institution Evaluation'!$A$56:$K$345,5,0)&amp;""</f>
        <v>Based on the response to REQU-05 on the "START HERE" tab, this question does not apply to this product or service.</v>
      </c>
      <c r="F222" s="207" t="str">
        <f>VLOOKUP($A222,'Institution Evaluation'!$A$56:$K$345,6,0)&amp;""</f>
        <v/>
      </c>
      <c r="G222" s="196" t="str">
        <f>VLOOKUP($A222,'Institution Evaluation'!$A$56:$K$345,7,0)&amp;""</f>
        <v>Yes</v>
      </c>
      <c r="H222" s="197" t="str">
        <f>VLOOKUP($A222,'Institution Evaluation'!$A$56:$K$345,8,0)&amp;""</f>
        <v/>
      </c>
      <c r="I222" s="198" t="str">
        <f>VLOOKUP($A222,'Institution Evaluation'!$A$56:$K$345,9,0)&amp;""</f>
        <v>Standard Importance</v>
      </c>
      <c r="J222" s="251" t="str">
        <f>VLOOKUP($A222,'Institution Evaluation'!$A$56:$K$345,10,0)&amp;""</f>
        <v/>
      </c>
      <c r="K222" s="199" t="str">
        <f>IF(VLOOKUP($A222,'Institution Evaluation'!$A$56:$K$345,10,0)=TRUE(),'Auto Responses'!$J$3,"")</f>
        <v/>
      </c>
    </row>
    <row r="223" spans="1:11" ht="60" customHeight="1" x14ac:dyDescent="0.2">
      <c r="A223" s="36" t="s">
        <v>254</v>
      </c>
      <c r="B223" s="44" t="str">
        <f>VLOOKUP($A223,Questions!$A$2:$X$333,2,0)</f>
        <v>Has your organization designated HIPAA Privacy and Security officers as required by the rules?</v>
      </c>
      <c r="C223" s="198" t="str">
        <f>VLOOKUP($A223,'Institution Evaluation'!$A$56:$K$345,3,0)&amp;""</f>
        <v>N/A</v>
      </c>
      <c r="D223" s="198" t="str">
        <f>VLOOKUP($A223,'Institution Evaluation'!$A$56:$K$345,4,0)&amp;""</f>
        <v>This question does not apply.</v>
      </c>
      <c r="E223" s="204" t="str">
        <f>VLOOKUP($A223,'Institution Evaluation'!$A$56:$K$345,5,0)&amp;""</f>
        <v>Based on the response to REQU-05 on the "START HERE" tab, this question does not apply to this product or service.</v>
      </c>
      <c r="F223" s="207" t="str">
        <f>VLOOKUP($A223,'Institution Evaluation'!$A$56:$K$345,6,0)&amp;""</f>
        <v/>
      </c>
      <c r="G223" s="196" t="str">
        <f>VLOOKUP($A223,'Institution Evaluation'!$A$56:$K$345,7,0)&amp;""</f>
        <v>Yes</v>
      </c>
      <c r="H223" s="197" t="str">
        <f>VLOOKUP($A223,'Institution Evaluation'!$A$56:$K$345,8,0)&amp;""</f>
        <v/>
      </c>
      <c r="I223" s="198" t="str">
        <f>VLOOKUP($A223,'Institution Evaluation'!$A$56:$K$345,9,0)&amp;""</f>
        <v>Standard Importance</v>
      </c>
      <c r="J223" s="251" t="str">
        <f>VLOOKUP($A223,'Institution Evaluation'!$A$56:$K$345,10,0)&amp;""</f>
        <v/>
      </c>
      <c r="K223" s="199" t="str">
        <f>IF(VLOOKUP($A223,'Institution Evaluation'!$A$56:$K$345,10,0)=TRUE(),'Auto Responses'!$J$3,"")</f>
        <v/>
      </c>
    </row>
    <row r="224" spans="1:11" ht="60" customHeight="1" x14ac:dyDescent="0.2">
      <c r="A224" s="36" t="s">
        <v>255</v>
      </c>
      <c r="B224" s="44" t="str">
        <f>VLOOKUP($A224,Questions!$A$2:$X$333,2,0)</f>
        <v>Do you comply with the requirements of the Health Information Technology for Economic and Clinical Health Act (HITECH)?</v>
      </c>
      <c r="C224" s="198" t="str">
        <f>VLOOKUP($A224,'Institution Evaluation'!$A$56:$K$345,3,0)&amp;""</f>
        <v>N/A</v>
      </c>
      <c r="D224" s="198" t="str">
        <f>VLOOKUP($A224,'Institution Evaluation'!$A$56:$K$345,4,0)&amp;""</f>
        <v>This question does not apply.</v>
      </c>
      <c r="E224" s="204" t="str">
        <f>VLOOKUP($A224,'Institution Evaluation'!$A$56:$K$345,5,0)&amp;""</f>
        <v>Based on the response to REQU-05 on the "START HERE" tab, this question does not apply to this product or service.</v>
      </c>
      <c r="F224" s="207" t="str">
        <f>VLOOKUP($A224,'Institution Evaluation'!$A$56:$K$345,6,0)&amp;""</f>
        <v/>
      </c>
      <c r="G224" s="196" t="str">
        <f>VLOOKUP($A224,'Institution Evaluation'!$A$56:$K$345,7,0)&amp;""</f>
        <v>Yes</v>
      </c>
      <c r="H224" s="197" t="str">
        <f>VLOOKUP($A224,'Institution Evaluation'!$A$56:$K$345,8,0)&amp;""</f>
        <v/>
      </c>
      <c r="I224" s="198" t="str">
        <f>VLOOKUP($A224,'Institution Evaluation'!$A$56:$K$345,9,0)&amp;""</f>
        <v>Standard Importance</v>
      </c>
      <c r="J224" s="251" t="str">
        <f>VLOOKUP($A224,'Institution Evaluation'!$A$56:$K$345,10,0)&amp;""</f>
        <v/>
      </c>
      <c r="K224" s="199" t="str">
        <f>IF(VLOOKUP($A224,'Institution Evaluation'!$A$56:$K$345,10,0)=TRUE(),'Auto Responses'!$J$3,"")</f>
        <v/>
      </c>
    </row>
    <row r="225" spans="1:11" ht="60" customHeight="1" x14ac:dyDescent="0.2">
      <c r="A225" s="36" t="s">
        <v>256</v>
      </c>
      <c r="B225" s="44" t="str">
        <f>VLOOKUP($A225,Questions!$A$2:$X$333,2,0)</f>
        <v>Have you conducted a risk analysis as required under the HIPAA Security Rule?</v>
      </c>
      <c r="C225" s="198" t="str">
        <f>VLOOKUP($A225,'Institution Evaluation'!$A$56:$K$345,3,0)&amp;""</f>
        <v>N/A</v>
      </c>
      <c r="D225" s="198" t="str">
        <f>VLOOKUP($A225,'Institution Evaluation'!$A$56:$K$345,4,0)&amp;""</f>
        <v>This question does not apply.</v>
      </c>
      <c r="E225" s="204" t="str">
        <f>VLOOKUP($A225,'Institution Evaluation'!$A$56:$K$345,5,0)&amp;""</f>
        <v>Based on the response to REQU-05 on the "START HERE" tab, this question does not apply to this product or service.</v>
      </c>
      <c r="F225" s="207" t="str">
        <f>VLOOKUP($A225,'Institution Evaluation'!$A$56:$K$345,6,0)&amp;""</f>
        <v/>
      </c>
      <c r="G225" s="196" t="str">
        <f>VLOOKUP($A225,'Institution Evaluation'!$A$56:$K$345,7,0)&amp;""</f>
        <v>Yes</v>
      </c>
      <c r="H225" s="197" t="str">
        <f>VLOOKUP($A225,'Institution Evaluation'!$A$56:$K$345,8,0)&amp;""</f>
        <v/>
      </c>
      <c r="I225" s="198" t="str">
        <f>VLOOKUP($A225,'Institution Evaluation'!$A$56:$K$345,9,0)&amp;""</f>
        <v>Standard Importance</v>
      </c>
      <c r="J225" s="251" t="str">
        <f>VLOOKUP($A225,'Institution Evaluation'!$A$56:$K$345,10,0)&amp;""</f>
        <v/>
      </c>
      <c r="K225" s="199" t="str">
        <f>IF(VLOOKUP($A225,'Institution Evaluation'!$A$56:$K$345,10,0)=TRUE(),'Auto Responses'!$J$3,"")</f>
        <v/>
      </c>
    </row>
    <row r="226" spans="1:11" ht="60" customHeight="1" x14ac:dyDescent="0.2">
      <c r="A226" s="36" t="s">
        <v>257</v>
      </c>
      <c r="B226" s="44" t="str">
        <f>VLOOKUP($A226,Questions!$A$2:$X$333,2,0)</f>
        <v>Have you taken actions to mitigate the identified risks?</v>
      </c>
      <c r="C226" s="198" t="str">
        <f>VLOOKUP($A226,'Institution Evaluation'!$A$56:$K$345,3,0)&amp;""</f>
        <v>N/A</v>
      </c>
      <c r="D226" s="198" t="str">
        <f>VLOOKUP($A226,'Institution Evaluation'!$A$56:$K$345,4,0)&amp;""</f>
        <v>This question does not apply.</v>
      </c>
      <c r="E226" s="204" t="str">
        <f>VLOOKUP($A226,'Institution Evaluation'!$A$56:$K$345,5,0)&amp;""</f>
        <v>Based on the response to REQU-05 on the "START HERE" tab, this question does not apply to this product or service.</v>
      </c>
      <c r="F226" s="207" t="str">
        <f>VLOOKUP($A226,'Institution Evaluation'!$A$56:$K$345,6,0)&amp;""</f>
        <v/>
      </c>
      <c r="G226" s="196" t="str">
        <f>VLOOKUP($A226,'Institution Evaluation'!$A$56:$K$345,7,0)&amp;""</f>
        <v>Yes</v>
      </c>
      <c r="H226" s="197" t="str">
        <f>VLOOKUP($A226,'Institution Evaluation'!$A$56:$K$345,8,0)&amp;""</f>
        <v/>
      </c>
      <c r="I226" s="198" t="str">
        <f>VLOOKUP($A226,'Institution Evaluation'!$A$56:$K$345,9,0)&amp;""</f>
        <v>Standard Importance</v>
      </c>
      <c r="J226" s="251" t="str">
        <f>VLOOKUP($A226,'Institution Evaluation'!$A$56:$K$345,10,0)&amp;""</f>
        <v/>
      </c>
      <c r="K226" s="199" t="str">
        <f>IF(VLOOKUP($A226,'Institution Evaluation'!$A$56:$K$345,10,0)=TRUE(),'Auto Responses'!$J$3,"")</f>
        <v/>
      </c>
    </row>
    <row r="227" spans="1:11" ht="60" customHeight="1" x14ac:dyDescent="0.2">
      <c r="A227" s="36" t="s">
        <v>258</v>
      </c>
      <c r="B227" s="44" t="str">
        <f>VLOOKUP($A227,Questions!$A$2:$X$333,2,0)</f>
        <v>Does your application require user and system administrator password changes at a frequency no greater than 90 days?</v>
      </c>
      <c r="C227" s="198" t="str">
        <f>VLOOKUP($A227,'Institution Evaluation'!$A$56:$K$345,3,0)&amp;""</f>
        <v>N/A</v>
      </c>
      <c r="D227" s="198" t="str">
        <f>VLOOKUP($A227,'Institution Evaluation'!$A$56:$K$345,4,0)&amp;""</f>
        <v>This question does not apply.</v>
      </c>
      <c r="E227" s="204" t="str">
        <f>VLOOKUP($A227,'Institution Evaluation'!$A$56:$K$345,5,0)&amp;""</f>
        <v>Based on the response to REQU-05 on the "START HERE" tab, this question does not apply to this product or service.</v>
      </c>
      <c r="F227" s="207" t="str">
        <f>VLOOKUP($A227,'Institution Evaluation'!$A$56:$K$345,6,0)&amp;""</f>
        <v/>
      </c>
      <c r="G227" s="196" t="str">
        <f>VLOOKUP($A227,'Institution Evaluation'!$A$56:$K$345,7,0)&amp;""</f>
        <v>Yes</v>
      </c>
      <c r="H227" s="197" t="str">
        <f>VLOOKUP($A227,'Institution Evaluation'!$A$56:$K$345,8,0)&amp;""</f>
        <v/>
      </c>
      <c r="I227" s="198" t="str">
        <f>VLOOKUP($A227,'Institution Evaluation'!$A$56:$K$345,9,0)&amp;""</f>
        <v>Standard Importance</v>
      </c>
      <c r="J227" s="251" t="str">
        <f>VLOOKUP($A227,'Institution Evaluation'!$A$56:$K$345,10,0)&amp;""</f>
        <v/>
      </c>
      <c r="K227" s="199" t="str">
        <f>IF(VLOOKUP($A227,'Institution Evaluation'!$A$56:$K$345,10,0)=TRUE(),'Auto Responses'!$J$3,"")</f>
        <v/>
      </c>
    </row>
    <row r="228" spans="1:11" ht="60" customHeight="1" x14ac:dyDescent="0.2">
      <c r="A228" s="36" t="s">
        <v>259</v>
      </c>
      <c r="B228" s="44" t="str">
        <f>VLOOKUP($A228,Questions!$A$2:$X$333,2,0)</f>
        <v>Does your application require users to set their own password after an administrator reset or on first use of the account?</v>
      </c>
      <c r="C228" s="198" t="str">
        <f>VLOOKUP($A228,'Institution Evaluation'!$A$56:$K$345,3,0)&amp;""</f>
        <v>N/A</v>
      </c>
      <c r="D228" s="198" t="str">
        <f>VLOOKUP($A228,'Institution Evaluation'!$A$56:$K$345,4,0)&amp;""</f>
        <v>This question does not apply.</v>
      </c>
      <c r="E228" s="204" t="str">
        <f>VLOOKUP($A228,'Institution Evaluation'!$A$56:$K$345,5,0)&amp;""</f>
        <v>Based on the response to REQU-05 on the "START HERE" tab, this question does not apply to this product or service.</v>
      </c>
      <c r="F228" s="207" t="str">
        <f>VLOOKUP($A228,'Institution Evaluation'!$A$56:$K$345,6,0)&amp;""</f>
        <v/>
      </c>
      <c r="G228" s="196" t="str">
        <f>VLOOKUP($A228,'Institution Evaluation'!$A$56:$K$345,7,0)&amp;""</f>
        <v>Yes</v>
      </c>
      <c r="H228" s="197" t="str">
        <f>VLOOKUP($A228,'Institution Evaluation'!$A$56:$K$345,8,0)&amp;""</f>
        <v/>
      </c>
      <c r="I228" s="198" t="str">
        <f>VLOOKUP($A228,'Institution Evaluation'!$A$56:$K$345,9,0)&amp;""</f>
        <v>Standard Importance</v>
      </c>
      <c r="J228" s="251" t="str">
        <f>VLOOKUP($A228,'Institution Evaluation'!$A$56:$K$345,10,0)&amp;""</f>
        <v/>
      </c>
      <c r="K228" s="199" t="str">
        <f>IF(VLOOKUP($A228,'Institution Evaluation'!$A$56:$K$345,10,0)=TRUE(),'Auto Responses'!$J$3,"")</f>
        <v/>
      </c>
    </row>
    <row r="229" spans="1:11" ht="60" customHeight="1" x14ac:dyDescent="0.2">
      <c r="A229" s="36" t="s">
        <v>260</v>
      </c>
      <c r="B229" s="44" t="str">
        <f>VLOOKUP($A229,Questions!$A$2:$X$333,2,0)</f>
        <v>Does your application lock out an account after a number of failed login attempts?</v>
      </c>
      <c r="C229" s="198" t="str">
        <f>VLOOKUP($A229,'Institution Evaluation'!$A$56:$K$345,3,0)&amp;""</f>
        <v>N/A</v>
      </c>
      <c r="D229" s="198" t="str">
        <f>VLOOKUP($A229,'Institution Evaluation'!$A$56:$K$345,4,0)&amp;""</f>
        <v>This question does not apply.</v>
      </c>
      <c r="E229" s="204" t="str">
        <f>VLOOKUP($A229,'Institution Evaluation'!$A$56:$K$345,5,0)&amp;""</f>
        <v>Based on the response to REQU-05 on the "START HERE" tab, this question does not apply to this product or service.</v>
      </c>
      <c r="F229" s="207" t="str">
        <f>VLOOKUP($A229,'Institution Evaluation'!$A$56:$K$345,6,0)&amp;""</f>
        <v/>
      </c>
      <c r="G229" s="196" t="str">
        <f>VLOOKUP($A229,'Institution Evaluation'!$A$56:$K$345,7,0)&amp;""</f>
        <v>Yes</v>
      </c>
      <c r="H229" s="197" t="str">
        <f>VLOOKUP($A229,'Institution Evaluation'!$A$56:$K$345,8,0)&amp;""</f>
        <v/>
      </c>
      <c r="I229" s="198" t="str">
        <f>VLOOKUP($A229,'Institution Evaluation'!$A$56:$K$345,9,0)&amp;""</f>
        <v>Standard Importance</v>
      </c>
      <c r="J229" s="251" t="str">
        <f>VLOOKUP($A229,'Institution Evaluation'!$A$56:$K$345,10,0)&amp;""</f>
        <v/>
      </c>
      <c r="K229" s="199" t="str">
        <f>IF(VLOOKUP($A229,'Institution Evaluation'!$A$56:$K$345,10,0)=TRUE(),'Auto Responses'!$J$3,"")</f>
        <v/>
      </c>
    </row>
    <row r="230" spans="1:11" ht="60" customHeight="1" x14ac:dyDescent="0.2">
      <c r="A230" s="36" t="s">
        <v>261</v>
      </c>
      <c r="B230" s="44" t="str">
        <f>VLOOKUP($A230,Questions!$A$2:$X$333,2,0)</f>
        <v>Does your application automatically lock or log-out an account after a period of inactivity?</v>
      </c>
      <c r="C230" s="198" t="str">
        <f>VLOOKUP($A230,'Institution Evaluation'!$A$56:$K$345,3,0)&amp;""</f>
        <v>N/A</v>
      </c>
      <c r="D230" s="198" t="str">
        <f>VLOOKUP($A230,'Institution Evaluation'!$A$56:$K$345,4,0)&amp;""</f>
        <v>This question does not apply.</v>
      </c>
      <c r="E230" s="204" t="str">
        <f>VLOOKUP($A230,'Institution Evaluation'!$A$56:$K$345,5,0)&amp;""</f>
        <v>Based on the response to REQU-05 on the "START HERE" tab, this question does not apply to this product or service.</v>
      </c>
      <c r="F230" s="207" t="str">
        <f>VLOOKUP($A230,'Institution Evaluation'!$A$56:$K$345,6,0)&amp;""</f>
        <v/>
      </c>
      <c r="G230" s="196" t="str">
        <f>VLOOKUP($A230,'Institution Evaluation'!$A$56:$K$345,7,0)&amp;""</f>
        <v>Yes</v>
      </c>
      <c r="H230" s="197" t="str">
        <f>VLOOKUP($A230,'Institution Evaluation'!$A$56:$K$345,8,0)&amp;""</f>
        <v/>
      </c>
      <c r="I230" s="198" t="str">
        <f>VLOOKUP($A230,'Institution Evaluation'!$A$56:$K$345,9,0)&amp;""</f>
        <v>Standard Importance</v>
      </c>
      <c r="J230" s="251" t="str">
        <f>VLOOKUP($A230,'Institution Evaluation'!$A$56:$K$345,10,0)&amp;""</f>
        <v/>
      </c>
      <c r="K230" s="199" t="str">
        <f>IF(VLOOKUP($A230,'Institution Evaluation'!$A$56:$K$345,10,0)=TRUE(),'Auto Responses'!$J$3,"")</f>
        <v/>
      </c>
    </row>
    <row r="231" spans="1:11" ht="60" customHeight="1" x14ac:dyDescent="0.2">
      <c r="A231" s="36" t="s">
        <v>262</v>
      </c>
      <c r="B231" s="44" t="str">
        <f>VLOOKUP($A231,Questions!$A$2:$X$333,2,0)</f>
        <v>Are passwords visible in plain text, whether when stored or entered, including service level accounts (i.e., database accounts, etc.)?</v>
      </c>
      <c r="C231" s="198" t="str">
        <f>VLOOKUP($A231,'Institution Evaluation'!$A$56:$K$345,3,0)&amp;""</f>
        <v>N/A</v>
      </c>
      <c r="D231" s="198" t="str">
        <f>VLOOKUP($A231,'Institution Evaluation'!$A$56:$K$345,4,0)&amp;""</f>
        <v>This question does not apply.</v>
      </c>
      <c r="E231" s="204" t="str">
        <f>VLOOKUP($A231,'Institution Evaluation'!$A$56:$K$345,5,0)&amp;""</f>
        <v>Based on the response to REQU-05 on the "START HERE" tab, this question does not apply to this product or service.</v>
      </c>
      <c r="F231" s="207" t="str">
        <f>VLOOKUP($A231,'Institution Evaluation'!$A$56:$K$345,6,0)&amp;""</f>
        <v/>
      </c>
      <c r="G231" s="196" t="str">
        <f>VLOOKUP($A231,'Institution Evaluation'!$A$56:$K$345,7,0)&amp;""</f>
        <v>No</v>
      </c>
      <c r="H231" s="197" t="str">
        <f>VLOOKUP($A231,'Institution Evaluation'!$A$56:$K$345,8,0)&amp;""</f>
        <v/>
      </c>
      <c r="I231" s="198" t="str">
        <f>VLOOKUP($A231,'Institution Evaluation'!$A$56:$K$345,9,0)&amp;""</f>
        <v>Standard Importance</v>
      </c>
      <c r="J231" s="251" t="str">
        <f>VLOOKUP($A231,'Institution Evaluation'!$A$56:$K$345,10,0)&amp;""</f>
        <v/>
      </c>
      <c r="K231" s="199" t="str">
        <f>IF(VLOOKUP($A231,'Institution Evaluation'!$A$56:$K$345,10,0)=TRUE(),'Auto Responses'!$J$3,"")</f>
        <v/>
      </c>
    </row>
    <row r="232" spans="1:11" ht="60" customHeight="1" x14ac:dyDescent="0.2">
      <c r="A232" s="36" t="s">
        <v>263</v>
      </c>
      <c r="B232" s="44" t="str">
        <f>VLOOKUP($A232,Questions!$A$2:$X$333,2,0)</f>
        <v>If the application is institution-hosted, can all service level and administrative account passwords be changed by the institution?</v>
      </c>
      <c r="C232" s="198" t="str">
        <f>VLOOKUP($A232,'Institution Evaluation'!$A$56:$K$345,3,0)&amp;""</f>
        <v>N/A</v>
      </c>
      <c r="D232" s="198" t="str">
        <f>VLOOKUP($A232,'Institution Evaluation'!$A$56:$K$345,4,0)&amp;""</f>
        <v>This question does not apply.</v>
      </c>
      <c r="E232" s="204" t="str">
        <f>VLOOKUP($A232,'Institution Evaluation'!$A$56:$K$345,5,0)&amp;""</f>
        <v>Based on the response to REQU-05 on the "START HERE" tab, this question does not apply to this product or service.</v>
      </c>
      <c r="F232" s="207" t="str">
        <f>VLOOKUP($A232,'Institution Evaluation'!$A$56:$K$345,6,0)&amp;""</f>
        <v/>
      </c>
      <c r="G232" s="196" t="str">
        <f>VLOOKUP($A232,'Institution Evaluation'!$A$56:$K$345,7,0)&amp;""</f>
        <v>Yes</v>
      </c>
      <c r="H232" s="197" t="str">
        <f>VLOOKUP($A232,'Institution Evaluation'!$A$56:$K$345,8,0)&amp;""</f>
        <v/>
      </c>
      <c r="I232" s="198" t="str">
        <f>VLOOKUP($A232,'Institution Evaluation'!$A$56:$K$345,9,0)&amp;""</f>
        <v>Standard Importance</v>
      </c>
      <c r="J232" s="251" t="str">
        <f>VLOOKUP($A232,'Institution Evaluation'!$A$56:$K$345,10,0)&amp;""</f>
        <v/>
      </c>
      <c r="K232" s="199" t="str">
        <f>IF(VLOOKUP($A232,'Institution Evaluation'!$A$56:$K$345,10,0)=TRUE(),'Auto Responses'!$J$3,"")</f>
        <v/>
      </c>
    </row>
    <row r="233" spans="1:11" ht="60" customHeight="1" x14ac:dyDescent="0.2">
      <c r="A233" s="36" t="s">
        <v>264</v>
      </c>
      <c r="B233" s="44" t="str">
        <f>VLOOKUP($A233,Questions!$A$2:$X$333,2,0)</f>
        <v>Does your application provide the ability to define user access levels?</v>
      </c>
      <c r="C233" s="198" t="str">
        <f>VLOOKUP($A233,'Institution Evaluation'!$A$56:$K$345,3,0)&amp;""</f>
        <v>N/A</v>
      </c>
      <c r="D233" s="198" t="str">
        <f>VLOOKUP($A233,'Institution Evaluation'!$A$56:$K$345,4,0)&amp;""</f>
        <v>This question does not apply.</v>
      </c>
      <c r="E233" s="204" t="str">
        <f>VLOOKUP($A233,'Institution Evaluation'!$A$56:$K$345,5,0)&amp;""</f>
        <v>Based on the response to REQU-05 on the "START HERE" tab, this question does not apply to this product or service.</v>
      </c>
      <c r="F233" s="207" t="str">
        <f>VLOOKUP($A233,'Institution Evaluation'!$A$56:$K$345,6,0)&amp;""</f>
        <v/>
      </c>
      <c r="G233" s="196" t="str">
        <f>VLOOKUP($A233,'Institution Evaluation'!$A$56:$K$345,7,0)&amp;""</f>
        <v>Yes</v>
      </c>
      <c r="H233" s="197" t="str">
        <f>VLOOKUP($A233,'Institution Evaluation'!$A$56:$K$345,8,0)&amp;""</f>
        <v/>
      </c>
      <c r="I233" s="198" t="str">
        <f>VLOOKUP($A233,'Institution Evaluation'!$A$56:$K$345,9,0)&amp;""</f>
        <v>Standard Importance</v>
      </c>
      <c r="J233" s="251" t="str">
        <f>VLOOKUP($A233,'Institution Evaluation'!$A$56:$K$345,10,0)&amp;""</f>
        <v/>
      </c>
      <c r="K233" s="199" t="str">
        <f>IF(VLOOKUP($A233,'Institution Evaluation'!$A$56:$K$345,10,0)=TRUE(),'Auto Responses'!$J$3,"")</f>
        <v/>
      </c>
    </row>
    <row r="234" spans="1:11" ht="60" customHeight="1" x14ac:dyDescent="0.2">
      <c r="A234" s="36" t="s">
        <v>265</v>
      </c>
      <c r="B234" s="44" t="str">
        <f>VLOOKUP($A234,Questions!$A$2:$X$333,2,0)</f>
        <v>Does your application support varying levels of access to administrative tasks defined individually per user?</v>
      </c>
      <c r="C234" s="198" t="str">
        <f>VLOOKUP($A234,'Institution Evaluation'!$A$56:$K$345,3,0)&amp;""</f>
        <v>N/A</v>
      </c>
      <c r="D234" s="198" t="str">
        <f>VLOOKUP($A234,'Institution Evaluation'!$A$56:$K$345,4,0)&amp;""</f>
        <v>This question does not apply.</v>
      </c>
      <c r="E234" s="204" t="str">
        <f>VLOOKUP($A234,'Institution Evaluation'!$A$56:$K$345,5,0)&amp;""</f>
        <v>Based on the response to REQU-05 on the "START HERE" tab, this question does not apply to this product or service.</v>
      </c>
      <c r="F234" s="207" t="str">
        <f>VLOOKUP($A234,'Institution Evaluation'!$A$56:$K$345,6,0)&amp;""</f>
        <v/>
      </c>
      <c r="G234" s="196" t="str">
        <f>VLOOKUP($A234,'Institution Evaluation'!$A$56:$K$345,7,0)&amp;""</f>
        <v>Yes</v>
      </c>
      <c r="H234" s="197" t="str">
        <f>VLOOKUP($A234,'Institution Evaluation'!$A$56:$K$345,8,0)&amp;""</f>
        <v/>
      </c>
      <c r="I234" s="198" t="str">
        <f>VLOOKUP($A234,'Institution Evaluation'!$A$56:$K$345,9,0)&amp;""</f>
        <v>Standard Importance</v>
      </c>
      <c r="J234" s="251" t="str">
        <f>VLOOKUP($A234,'Institution Evaluation'!$A$56:$K$345,10,0)&amp;""</f>
        <v/>
      </c>
      <c r="K234" s="199" t="str">
        <f>IF(VLOOKUP($A234,'Institution Evaluation'!$A$56:$K$345,10,0)=TRUE(),'Auto Responses'!$J$3,"")</f>
        <v/>
      </c>
    </row>
    <row r="235" spans="1:11" ht="60" customHeight="1" x14ac:dyDescent="0.2">
      <c r="A235" s="36" t="s">
        <v>266</v>
      </c>
      <c r="B235" s="44" t="str">
        <f>VLOOKUP($A235,Questions!$A$2:$X$333,2,0)</f>
        <v>Does your application support varying levels of access to records based on user ID?</v>
      </c>
      <c r="C235" s="198" t="str">
        <f>VLOOKUP($A235,'Institution Evaluation'!$A$56:$K$345,3,0)&amp;""</f>
        <v>N/A</v>
      </c>
      <c r="D235" s="198" t="str">
        <f>VLOOKUP($A235,'Institution Evaluation'!$A$56:$K$345,4,0)&amp;""</f>
        <v>This question does not apply.</v>
      </c>
      <c r="E235" s="204" t="str">
        <f>VLOOKUP($A235,'Institution Evaluation'!$A$56:$K$345,5,0)&amp;""</f>
        <v>Based on the response to REQU-05 on the "START HERE" tab, this question does not apply to this product or service.</v>
      </c>
      <c r="F235" s="207" t="str">
        <f>VLOOKUP($A235,'Institution Evaluation'!$A$56:$K$345,6,0)&amp;""</f>
        <v/>
      </c>
      <c r="G235" s="196" t="str">
        <f>VLOOKUP($A235,'Institution Evaluation'!$A$56:$K$345,7,0)&amp;""</f>
        <v>No</v>
      </c>
      <c r="H235" s="197" t="str">
        <f>VLOOKUP($A235,'Institution Evaluation'!$A$56:$K$345,8,0)&amp;""</f>
        <v/>
      </c>
      <c r="I235" s="198" t="str">
        <f>VLOOKUP($A235,'Institution Evaluation'!$A$56:$K$345,9,0)&amp;""</f>
        <v>Standard Importance</v>
      </c>
      <c r="J235" s="251" t="str">
        <f>VLOOKUP($A235,'Institution Evaluation'!$A$56:$K$345,10,0)&amp;""</f>
        <v/>
      </c>
      <c r="K235" s="199" t="str">
        <f>IF(VLOOKUP($A235,'Institution Evaluation'!$A$56:$K$345,10,0)=TRUE(),'Auto Responses'!$J$3,"")</f>
        <v/>
      </c>
    </row>
    <row r="236" spans="1:11" ht="60" customHeight="1" x14ac:dyDescent="0.2">
      <c r="A236" s="36" t="s">
        <v>267</v>
      </c>
      <c r="B236" s="44" t="str">
        <f>VLOOKUP($A236,Questions!$A$2:$X$333,2,0)</f>
        <v>Is there a limit to the number of groups to which a user can be assigned?</v>
      </c>
      <c r="C236" s="198" t="str">
        <f>VLOOKUP($A236,'Institution Evaluation'!$A$56:$K$345,3,0)&amp;""</f>
        <v>N/A</v>
      </c>
      <c r="D236" s="198" t="str">
        <f>VLOOKUP($A236,'Institution Evaluation'!$A$56:$K$345,4,0)&amp;""</f>
        <v>This question does not apply.</v>
      </c>
      <c r="E236" s="204" t="str">
        <f>VLOOKUP($A236,'Institution Evaluation'!$A$56:$K$345,5,0)&amp;""</f>
        <v>Based on the response to REQU-05 on the "START HERE" tab, this question does not apply to this product or service.</v>
      </c>
      <c r="F236" s="207" t="str">
        <f>VLOOKUP($A236,'Institution Evaluation'!$A$56:$K$345,6,0)&amp;""</f>
        <v/>
      </c>
      <c r="G236" s="196" t="str">
        <f>VLOOKUP($A236,'Institution Evaluation'!$A$56:$K$345,7,0)&amp;""</f>
        <v>Yes</v>
      </c>
      <c r="H236" s="197" t="str">
        <f>VLOOKUP($A236,'Institution Evaluation'!$A$56:$K$345,8,0)&amp;""</f>
        <v/>
      </c>
      <c r="I236" s="198" t="str">
        <f>VLOOKUP($A236,'Institution Evaluation'!$A$56:$K$345,9,0)&amp;""</f>
        <v>Standard Importance</v>
      </c>
      <c r="J236" s="251" t="str">
        <f>VLOOKUP($A236,'Institution Evaluation'!$A$56:$K$345,10,0)&amp;""</f>
        <v/>
      </c>
      <c r="K236" s="199" t="str">
        <f>IF(VLOOKUP($A236,'Institution Evaluation'!$A$56:$K$345,10,0)=TRUE(),'Auto Responses'!$J$3,"")</f>
        <v/>
      </c>
    </row>
    <row r="237" spans="1:11" ht="60" customHeight="1" x14ac:dyDescent="0.2">
      <c r="A237" s="36" t="s">
        <v>268</v>
      </c>
      <c r="B237" s="44" t="str">
        <f>VLOOKUP($A237,Questions!$A$2:$X$333,2,0)</f>
        <v>Do accounts used for solution provider-supplied remote support abide by the same authentication policies and access logging as the rest of the system?</v>
      </c>
      <c r="C237" s="198" t="str">
        <f>VLOOKUP($A237,'Institution Evaluation'!$A$56:$K$345,3,0)&amp;""</f>
        <v>N/A</v>
      </c>
      <c r="D237" s="198" t="str">
        <f>VLOOKUP($A237,'Institution Evaluation'!$A$56:$K$345,4,0)&amp;""</f>
        <v>This question does not apply.</v>
      </c>
      <c r="E237" s="204" t="str">
        <f>VLOOKUP($A237,'Institution Evaluation'!$A$56:$K$345,5,0)&amp;""</f>
        <v>Based on the response to REQU-05 on the "START HERE" tab, this question does not apply to this product or service.</v>
      </c>
      <c r="F237" s="207" t="str">
        <f>VLOOKUP($A237,'Institution Evaluation'!$A$56:$K$345,6,0)&amp;""</f>
        <v/>
      </c>
      <c r="G237" s="196" t="str">
        <f>VLOOKUP($A237,'Institution Evaluation'!$A$56:$K$345,7,0)&amp;""</f>
        <v>Yes</v>
      </c>
      <c r="H237" s="197" t="str">
        <f>VLOOKUP($A237,'Institution Evaluation'!$A$56:$K$345,8,0)&amp;""</f>
        <v/>
      </c>
      <c r="I237" s="198" t="str">
        <f>VLOOKUP($A237,'Institution Evaluation'!$A$56:$K$345,9,0)&amp;""</f>
        <v>Standard Importance</v>
      </c>
      <c r="J237" s="251" t="str">
        <f>VLOOKUP($A237,'Institution Evaluation'!$A$56:$K$345,10,0)&amp;""</f>
        <v/>
      </c>
      <c r="K237" s="199" t="str">
        <f>IF(VLOOKUP($A237,'Institution Evaluation'!$A$56:$K$345,10,0)=TRUE(),'Auto Responses'!$J$3,"")</f>
        <v/>
      </c>
    </row>
    <row r="238" spans="1:11" ht="60" customHeight="1" x14ac:dyDescent="0.2">
      <c r="A238" s="36" t="s">
        <v>269</v>
      </c>
      <c r="B238" s="44" t="str">
        <f>VLOOKUP($A238,Questions!$A$2:$X$333,2,0)</f>
        <v>Does the application log record access including specific user, date/time of access, and originating IP or device?</v>
      </c>
      <c r="C238" s="198" t="str">
        <f>VLOOKUP($A238,'Institution Evaluation'!$A$56:$K$345,3,0)&amp;""</f>
        <v>N/A</v>
      </c>
      <c r="D238" s="198" t="str">
        <f>VLOOKUP($A238,'Institution Evaluation'!$A$56:$K$345,4,0)&amp;""</f>
        <v>This question does not apply.</v>
      </c>
      <c r="E238" s="204" t="str">
        <f>VLOOKUP($A238,'Institution Evaluation'!$A$56:$K$345,5,0)&amp;""</f>
        <v>Based on the response to REQU-05 on the "START HERE" tab, this question does not apply to this product or service.</v>
      </c>
      <c r="F238" s="207" t="str">
        <f>VLOOKUP($A238,'Institution Evaluation'!$A$56:$K$345,6,0)&amp;""</f>
        <v/>
      </c>
      <c r="G238" s="196" t="str">
        <f>VLOOKUP($A238,'Institution Evaluation'!$A$56:$K$345,7,0)&amp;""</f>
        <v>Yes</v>
      </c>
      <c r="H238" s="197" t="str">
        <f>VLOOKUP($A238,'Institution Evaluation'!$A$56:$K$345,8,0)&amp;""</f>
        <v/>
      </c>
      <c r="I238" s="198" t="str">
        <f>VLOOKUP($A238,'Institution Evaluation'!$A$56:$K$345,9,0)&amp;""</f>
        <v>Standard Importance</v>
      </c>
      <c r="J238" s="251" t="str">
        <f>VLOOKUP($A238,'Institution Evaluation'!$A$56:$K$345,10,0)&amp;""</f>
        <v/>
      </c>
      <c r="K238" s="199" t="str">
        <f>IF(VLOOKUP($A238,'Institution Evaluation'!$A$56:$K$345,10,0)=TRUE(),'Auto Responses'!$J$3,"")</f>
        <v/>
      </c>
    </row>
    <row r="239" spans="1:11" ht="60" customHeight="1" x14ac:dyDescent="0.2">
      <c r="A239" s="36" t="s">
        <v>270</v>
      </c>
      <c r="B239" s="44" t="str">
        <f>VLOOKUP($A239,Questions!$A$2:$X$333,2,0)</f>
        <v>Does the application log administrative activity, such as user account access changes and password changes, including specific user, date/time of changes, and originating IP or device?</v>
      </c>
      <c r="C239" s="198" t="str">
        <f>VLOOKUP($A239,'Institution Evaluation'!$A$56:$K$345,3,0)&amp;""</f>
        <v>N/A</v>
      </c>
      <c r="D239" s="198" t="str">
        <f>VLOOKUP($A239,'Institution Evaluation'!$A$56:$K$345,4,0)&amp;""</f>
        <v>This question does not apply.</v>
      </c>
      <c r="E239" s="204" t="str">
        <f>VLOOKUP($A239,'Institution Evaluation'!$A$56:$K$345,5,0)&amp;""</f>
        <v>Based on the response to REQU-05 on the "START HERE" tab, this question does not apply to this product or service.</v>
      </c>
      <c r="F239" s="207" t="str">
        <f>VLOOKUP($A239,'Institution Evaluation'!$A$56:$K$345,6,0)&amp;""</f>
        <v/>
      </c>
      <c r="G239" s="196" t="str">
        <f>VLOOKUP($A239,'Institution Evaluation'!$A$56:$K$345,7,0)&amp;""</f>
        <v>Yes</v>
      </c>
      <c r="H239" s="197" t="str">
        <f>VLOOKUP($A239,'Institution Evaluation'!$A$56:$K$345,8,0)&amp;""</f>
        <v/>
      </c>
      <c r="I239" s="198" t="str">
        <f>VLOOKUP($A239,'Institution Evaluation'!$A$56:$K$345,9,0)&amp;""</f>
        <v>Standard Importance</v>
      </c>
      <c r="J239" s="251" t="str">
        <f>VLOOKUP($A239,'Institution Evaluation'!$A$56:$K$345,10,0)&amp;""</f>
        <v/>
      </c>
      <c r="K239" s="199" t="str">
        <f>IF(VLOOKUP($A239,'Institution Evaluation'!$A$56:$K$345,10,0)=TRUE(),'Auto Responses'!$J$3,"")</f>
        <v/>
      </c>
    </row>
    <row r="240" spans="1:11" ht="60" customHeight="1" x14ac:dyDescent="0.2">
      <c r="A240" s="36" t="s">
        <v>271</v>
      </c>
      <c r="B240" s="44" t="str">
        <f>VLOOKUP($A240,Questions!$A$2:$X$333,2,0)</f>
        <v>Do you retain logs for at least as long as required by HIPAA regulations?</v>
      </c>
      <c r="C240" s="198" t="str">
        <f>VLOOKUP($A240,'Institution Evaluation'!$A$56:$K$345,3,0)&amp;""</f>
        <v>N/A</v>
      </c>
      <c r="D240" s="198" t="str">
        <f>VLOOKUP($A240,'Institution Evaluation'!$A$56:$K$345,4,0)&amp;""</f>
        <v>This question does not apply.</v>
      </c>
      <c r="E240" s="204" t="str">
        <f>VLOOKUP($A240,'Institution Evaluation'!$A$56:$K$345,5,0)&amp;""</f>
        <v>Based on the response to REQU-05 on the "START HERE" tab, this question does not apply to this product or service.</v>
      </c>
      <c r="F240" s="207" t="str">
        <f>VLOOKUP($A240,'Institution Evaluation'!$A$56:$K$345,6,0)&amp;""</f>
        <v/>
      </c>
      <c r="G240" s="196" t="str">
        <f>VLOOKUP($A240,'Institution Evaluation'!$A$56:$K$345,7,0)&amp;""</f>
        <v>Yes</v>
      </c>
      <c r="H240" s="197" t="str">
        <f>VLOOKUP($A240,'Institution Evaluation'!$A$56:$K$345,8,0)&amp;""</f>
        <v/>
      </c>
      <c r="I240" s="198" t="str">
        <f>VLOOKUP($A240,'Institution Evaluation'!$A$56:$K$345,9,0)&amp;""</f>
        <v>Standard Importance</v>
      </c>
      <c r="J240" s="251" t="str">
        <f>VLOOKUP($A240,'Institution Evaluation'!$A$56:$K$345,10,0)&amp;""</f>
        <v/>
      </c>
      <c r="K240" s="199" t="str">
        <f>IF(VLOOKUP($A240,'Institution Evaluation'!$A$56:$K$345,10,0)=TRUE(),'Auto Responses'!$J$3,"")</f>
        <v/>
      </c>
    </row>
    <row r="241" spans="1:11" ht="60" customHeight="1" x14ac:dyDescent="0.2">
      <c r="A241" s="36" t="s">
        <v>272</v>
      </c>
      <c r="B241" s="44" t="str">
        <f>VLOOKUP($A241,Questions!$A$2:$X$333,2,0)</f>
        <v>Can the application logs be archived?</v>
      </c>
      <c r="C241" s="198" t="str">
        <f>VLOOKUP($A241,'Institution Evaluation'!$A$56:$K$345,3,0)&amp;""</f>
        <v>N/A</v>
      </c>
      <c r="D241" s="198" t="str">
        <f>VLOOKUP($A241,'Institution Evaluation'!$A$56:$K$345,4,0)&amp;""</f>
        <v>This question does not apply.</v>
      </c>
      <c r="E241" s="204" t="str">
        <f>VLOOKUP($A241,'Institution Evaluation'!$A$56:$K$345,5,0)&amp;""</f>
        <v>Based on the response to REQU-05 on the "START HERE" tab, this question does not apply to this product or service.</v>
      </c>
      <c r="F241" s="207" t="str">
        <f>VLOOKUP($A241,'Institution Evaluation'!$A$56:$K$345,6,0)&amp;""</f>
        <v/>
      </c>
      <c r="G241" s="196" t="str">
        <f>VLOOKUP($A241,'Institution Evaluation'!$A$56:$K$345,7,0)&amp;""</f>
        <v>Yes</v>
      </c>
      <c r="H241" s="197" t="str">
        <f>VLOOKUP($A241,'Institution Evaluation'!$A$56:$K$345,8,0)&amp;""</f>
        <v/>
      </c>
      <c r="I241" s="198" t="str">
        <f>VLOOKUP($A241,'Institution Evaluation'!$A$56:$K$345,9,0)&amp;""</f>
        <v>Standard Importance</v>
      </c>
      <c r="J241" s="251" t="str">
        <f>VLOOKUP($A241,'Institution Evaluation'!$A$56:$K$345,10,0)&amp;""</f>
        <v/>
      </c>
      <c r="K241" s="199" t="str">
        <f>IF(VLOOKUP($A241,'Institution Evaluation'!$A$56:$K$345,10,0)=TRUE(),'Auto Responses'!$J$3,"")</f>
        <v/>
      </c>
    </row>
    <row r="242" spans="1:11" ht="60" customHeight="1" x14ac:dyDescent="0.2">
      <c r="A242" s="36" t="s">
        <v>273</v>
      </c>
      <c r="B242" s="44" t="str">
        <f>VLOOKUP($A242,Questions!$A$2:$X$333,2,0)</f>
        <v>Can the application logs be saved externally?</v>
      </c>
      <c r="C242" s="198" t="str">
        <f>VLOOKUP($A242,'Institution Evaluation'!$A$56:$K$345,3,0)&amp;""</f>
        <v>N/A</v>
      </c>
      <c r="D242" s="198" t="str">
        <f>VLOOKUP($A242,'Institution Evaluation'!$A$56:$K$345,4,0)&amp;""</f>
        <v>This question does not apply.</v>
      </c>
      <c r="E242" s="204" t="str">
        <f>VLOOKUP($A242,'Institution Evaluation'!$A$56:$K$345,5,0)&amp;""</f>
        <v>Based on the response to REQU-05 on the "START HERE" tab, this question does not apply to this product or service.</v>
      </c>
      <c r="F242" s="207" t="str">
        <f>VLOOKUP($A242,'Institution Evaluation'!$A$56:$K$345,6,0)&amp;""</f>
        <v/>
      </c>
      <c r="G242" s="196" t="str">
        <f>VLOOKUP($A242,'Institution Evaluation'!$A$56:$K$345,7,0)&amp;""</f>
        <v>Yes</v>
      </c>
      <c r="H242" s="197" t="str">
        <f>VLOOKUP($A242,'Institution Evaluation'!$A$56:$K$345,8,0)&amp;""</f>
        <v/>
      </c>
      <c r="I242" s="198" t="str">
        <f>VLOOKUP($A242,'Institution Evaluation'!$A$56:$K$345,9,0)&amp;""</f>
        <v>Standard Importance</v>
      </c>
      <c r="J242" s="251" t="str">
        <f>VLOOKUP($A242,'Institution Evaluation'!$A$56:$K$345,10,0)&amp;""</f>
        <v/>
      </c>
      <c r="K242" s="199" t="str">
        <f>IF(VLOOKUP($A242,'Institution Evaluation'!$A$56:$K$345,10,0)=TRUE(),'Auto Responses'!$J$3,"")</f>
        <v/>
      </c>
    </row>
    <row r="243" spans="1:11" ht="60" customHeight="1" x14ac:dyDescent="0.2">
      <c r="A243" s="36" t="s">
        <v>274</v>
      </c>
      <c r="B243" s="44" t="str">
        <f>VLOOKUP($A243,Questions!$A$2:$X$333,2,0)</f>
        <v>Do you have a disaster recovery plan and emergency mode operation plan?</v>
      </c>
      <c r="C243" s="198" t="str">
        <f>VLOOKUP($A243,'Institution Evaluation'!$A$56:$K$345,3,0)&amp;""</f>
        <v>N/A</v>
      </c>
      <c r="D243" s="198" t="str">
        <f>VLOOKUP($A243,'Institution Evaluation'!$A$56:$K$345,4,0)&amp;""</f>
        <v>This question does not apply.</v>
      </c>
      <c r="E243" s="204" t="str">
        <f>VLOOKUP($A243,'Institution Evaluation'!$A$56:$K$345,5,0)&amp;""</f>
        <v>Based on the response to REQU-05 on the "START HERE" tab, this question does not apply to this product or service.</v>
      </c>
      <c r="F243" s="207" t="str">
        <f>VLOOKUP($A243,'Institution Evaluation'!$A$56:$K$345,6,0)&amp;""</f>
        <v/>
      </c>
      <c r="G243" s="196" t="str">
        <f>VLOOKUP($A243,'Institution Evaluation'!$A$56:$K$345,7,0)&amp;""</f>
        <v>Yes</v>
      </c>
      <c r="H243" s="197" t="str">
        <f>VLOOKUP($A243,'Institution Evaluation'!$A$56:$K$345,8,0)&amp;""</f>
        <v/>
      </c>
      <c r="I243" s="198" t="str">
        <f>VLOOKUP($A243,'Institution Evaluation'!$A$56:$K$345,9,0)&amp;""</f>
        <v>Standard Importance</v>
      </c>
      <c r="J243" s="251" t="str">
        <f>VLOOKUP($A243,'Institution Evaluation'!$A$56:$K$345,10,0)&amp;""</f>
        <v/>
      </c>
      <c r="K243" s="199" t="str">
        <f>IF(VLOOKUP($A243,'Institution Evaluation'!$A$56:$K$345,10,0)=TRUE(),'Auto Responses'!$J$3,"")</f>
        <v/>
      </c>
    </row>
    <row r="244" spans="1:11" ht="60" customHeight="1" x14ac:dyDescent="0.2">
      <c r="A244" s="36" t="s">
        <v>275</v>
      </c>
      <c r="B244" s="44" t="str">
        <f>VLOOKUP($A244,Questions!$A$2:$X$333,2,0)</f>
        <v>Can you provide a HIPAA compliance attestation document?</v>
      </c>
      <c r="C244" s="198" t="str">
        <f>VLOOKUP($A244,'Institution Evaluation'!$A$56:$K$345,3,0)&amp;""</f>
        <v>N/A</v>
      </c>
      <c r="D244" s="198" t="str">
        <f>VLOOKUP($A244,'Institution Evaluation'!$A$56:$K$345,4,0)&amp;""</f>
        <v>This question does not apply.</v>
      </c>
      <c r="E244" s="204" t="str">
        <f>VLOOKUP($A244,'Institution Evaluation'!$A$56:$K$345,5,0)&amp;""</f>
        <v>Based on the response to REQU-05 on the "START HERE" tab, this question does not apply to this product or service.</v>
      </c>
      <c r="F244" s="207" t="str">
        <f>VLOOKUP($A244,'Institution Evaluation'!$A$56:$K$345,6,0)&amp;""</f>
        <v/>
      </c>
      <c r="G244" s="196" t="str">
        <f>VLOOKUP($A244,'Institution Evaluation'!$A$56:$K$345,7,0)&amp;""</f>
        <v>Yes</v>
      </c>
      <c r="H244" s="197" t="str">
        <f>VLOOKUP($A244,'Institution Evaluation'!$A$56:$K$345,8,0)&amp;""</f>
        <v/>
      </c>
      <c r="I244" s="198" t="str">
        <f>VLOOKUP($A244,'Institution Evaluation'!$A$56:$K$345,9,0)&amp;""</f>
        <v>Standard Importance</v>
      </c>
      <c r="J244" s="251" t="str">
        <f>VLOOKUP($A244,'Institution Evaluation'!$A$56:$K$345,10,0)&amp;""</f>
        <v/>
      </c>
      <c r="K244" s="199" t="str">
        <f>IF(VLOOKUP($A244,'Institution Evaluation'!$A$56:$K$345,10,0)=TRUE(),'Auto Responses'!$J$3,"")</f>
        <v/>
      </c>
    </row>
    <row r="245" spans="1:11" ht="60" customHeight="1" x14ac:dyDescent="0.2">
      <c r="A245" s="36" t="s">
        <v>276</v>
      </c>
      <c r="B245" s="44" t="str">
        <f>VLOOKUP($A245,Questions!$A$2:$X$333,2,0)</f>
        <v>Are you willing to enter into a Business Associate Agreement (BAA)?</v>
      </c>
      <c r="C245" s="198" t="str">
        <f>VLOOKUP($A245,'Institution Evaluation'!$A$56:$K$345,3,0)&amp;""</f>
        <v>N/A</v>
      </c>
      <c r="D245" s="198" t="str">
        <f>VLOOKUP($A245,'Institution Evaluation'!$A$56:$K$345,4,0)&amp;""</f>
        <v>This question does not apply.</v>
      </c>
      <c r="E245" s="204" t="str">
        <f>VLOOKUP($A245,'Institution Evaluation'!$A$56:$K$345,5,0)&amp;""</f>
        <v>Based on the response to REQU-05 on the "START HERE" tab, this question does not apply to this product or service.</v>
      </c>
      <c r="F245" s="207" t="str">
        <f>VLOOKUP($A245,'Institution Evaluation'!$A$56:$K$345,6,0)&amp;""</f>
        <v/>
      </c>
      <c r="G245" s="196" t="str">
        <f>VLOOKUP($A245,'Institution Evaluation'!$A$56:$K$345,7,0)&amp;""</f>
        <v>Yes</v>
      </c>
      <c r="H245" s="197" t="str">
        <f>VLOOKUP($A245,'Institution Evaluation'!$A$56:$K$345,8,0)&amp;""</f>
        <v/>
      </c>
      <c r="I245" s="198" t="str">
        <f>VLOOKUP($A245,'Institution Evaluation'!$A$56:$K$345,9,0)&amp;""</f>
        <v>Standard Importance</v>
      </c>
      <c r="J245" s="251" t="str">
        <f>VLOOKUP($A245,'Institution Evaluation'!$A$56:$K$345,10,0)&amp;""</f>
        <v/>
      </c>
      <c r="K245" s="199" t="str">
        <f>IF(VLOOKUP($A245,'Institution Evaluation'!$A$56:$K$345,10,0)=TRUE(),'Auto Responses'!$J$3,"")</f>
        <v/>
      </c>
    </row>
    <row r="246" spans="1:11" ht="60" customHeight="1" x14ac:dyDescent="0.2">
      <c r="A246" s="36" t="s">
        <v>277</v>
      </c>
      <c r="B246" s="44" t="str">
        <f>VLOOKUP($A246,Questions!$A$2:$X$333,2,0)</f>
        <v>Do your data backup and retention policies and practices meet HIPAA requirements?</v>
      </c>
      <c r="C246" s="198" t="str">
        <f>VLOOKUP($A246,'Institution Evaluation'!$A$56:$K$345,3,0)&amp;""</f>
        <v>N/A</v>
      </c>
      <c r="D246" s="198" t="str">
        <f>VLOOKUP($A246,'Institution Evaluation'!$A$56:$K$345,4,0)&amp;""</f>
        <v>This question does not apply.</v>
      </c>
      <c r="E246" s="204" t="str">
        <f>VLOOKUP($A246,'Institution Evaluation'!$A$56:$K$345,5,0)&amp;""</f>
        <v>Based on the response to REQU-05 on the "START HERE" tab, this question does not apply to this product or service.</v>
      </c>
      <c r="F246" s="207" t="str">
        <f>VLOOKUP($A246,'Institution Evaluation'!$A$56:$K$345,6,0)&amp;""</f>
        <v/>
      </c>
      <c r="G246" s="196" t="str">
        <f>VLOOKUP($A246,'Institution Evaluation'!$A$56:$K$345,7,0)&amp;""</f>
        <v>Yes</v>
      </c>
      <c r="H246" s="197" t="str">
        <f>VLOOKUP($A246,'Institution Evaluation'!$A$56:$K$345,8,0)&amp;""</f>
        <v/>
      </c>
      <c r="I246" s="198" t="str">
        <f>VLOOKUP($A246,'Institution Evaluation'!$A$56:$K$345,9,0)&amp;""</f>
        <v>Minor Importance</v>
      </c>
      <c r="J246" s="251" t="str">
        <f>VLOOKUP($A246,'Institution Evaluation'!$A$56:$K$345,10,0)&amp;""</f>
        <v/>
      </c>
      <c r="K246" s="199" t="str">
        <f>IF(VLOOKUP($A246,'Institution Evaluation'!$A$56:$K$345,10,0)=TRUE(),'Auto Responses'!$J$3,"")</f>
        <v/>
      </c>
    </row>
    <row r="247" spans="1:11" s="3" customFormat="1" ht="17.25" customHeight="1" x14ac:dyDescent="0.15">
      <c r="A247" s="32" t="str">
        <f>VLOOKUP(LEFT($A248,4),'Auto Responses'!$N$4:$O$38,2,0)&amp;""</f>
        <v xml:space="preserve"> Payment Card Industry Data Security Standard (PCI DSS)</v>
      </c>
      <c r="B247" s="41"/>
      <c r="C247" s="42"/>
      <c r="D247" s="42"/>
      <c r="E247" s="203"/>
      <c r="F247" s="246" t="s">
        <v>468</v>
      </c>
      <c r="G247" s="200" t="s">
        <v>463</v>
      </c>
      <c r="H247" s="200" t="s">
        <v>464</v>
      </c>
      <c r="I247" s="200" t="s">
        <v>465</v>
      </c>
      <c r="J247" s="200" t="s">
        <v>466</v>
      </c>
      <c r="K247" s="42"/>
    </row>
    <row r="248" spans="1:11" ht="45" customHeight="1" x14ac:dyDescent="0.2">
      <c r="A248" s="36" t="s">
        <v>278</v>
      </c>
      <c r="B248" s="44" t="str">
        <f>VLOOKUP($A248,Questions!$A$2:$X$333,2,0)</f>
        <v>Do you have a current, executed within the past year, Attestation of Compliance (AoC) or Report on Compliance (RoC)?*</v>
      </c>
      <c r="C248" s="198" t="str">
        <f>VLOOKUP($A248,'Institution Evaluation'!$A$56:$K$345,3,0)&amp;""</f>
        <v>N/A</v>
      </c>
      <c r="D248" s="198" t="str">
        <f>VLOOKUP($A248,'Institution Evaluation'!$A$56:$K$345,4,0)&amp;""</f>
        <v>This question does not apply.</v>
      </c>
      <c r="E248" s="204" t="str">
        <f>VLOOKUP($A248,'Institution Evaluation'!$A$56:$K$345,5,0)&amp;""</f>
        <v>Based on the response to REQU-06 on the "START HERE" tab, this question does not apply to this product or service.</v>
      </c>
      <c r="F248" s="207" t="str">
        <f>VLOOKUP($A248,'Institution Evaluation'!$A$56:$K$345,6,0)&amp;""</f>
        <v/>
      </c>
      <c r="G248" s="196" t="str">
        <f>VLOOKUP($A248,'Institution Evaluation'!$A$56:$K$345,7,0)&amp;""</f>
        <v>Yes</v>
      </c>
      <c r="H248" s="197" t="str">
        <f>VLOOKUP($A248,'Institution Evaluation'!$A$56:$K$345,8,0)&amp;""</f>
        <v/>
      </c>
      <c r="I248" s="198" t="str">
        <f>VLOOKUP($A248,'Institution Evaluation'!$A$56:$K$345,9,0)&amp;""</f>
        <v>Critical Importance</v>
      </c>
      <c r="J248" s="251" t="str">
        <f>VLOOKUP($A248,'Institution Evaluation'!$A$56:$K$345,10,0)&amp;""</f>
        <v/>
      </c>
      <c r="K248" s="199" t="str">
        <f>IF(VLOOKUP($A248,'Institution Evaluation'!$A$56:$K$345,10,0)=TRUE(),'Auto Responses'!$J$3,"")</f>
        <v/>
      </c>
    </row>
    <row r="249" spans="1:11" ht="45" customHeight="1" x14ac:dyDescent="0.2">
      <c r="A249" s="36" t="s">
        <v>279</v>
      </c>
      <c r="B249" s="44" t="str">
        <f>VLOOKUP($A249,Questions!$A$2:$X$333,2,0)</f>
        <v>Is the application listed as an approved Payment Application Data Security Standard (PA-DSS) application?*</v>
      </c>
      <c r="C249" s="198" t="str">
        <f>VLOOKUP($A249,'Institution Evaluation'!$A$56:$K$345,3,0)&amp;""</f>
        <v>N/A</v>
      </c>
      <c r="D249" s="198" t="str">
        <f>VLOOKUP($A249,'Institution Evaluation'!$A$56:$K$345,4,0)&amp;""</f>
        <v>This question does not apply.</v>
      </c>
      <c r="E249" s="204" t="str">
        <f>VLOOKUP($A249,'Institution Evaluation'!$A$56:$K$345,5,0)&amp;""</f>
        <v>Based on the response to REQU-06 on the "START HERE" tab, this question does not apply to this product or service.</v>
      </c>
      <c r="F249" s="207" t="str">
        <f>VLOOKUP($A249,'Institution Evaluation'!$A$56:$K$345,6,0)&amp;""</f>
        <v/>
      </c>
      <c r="G249" s="196" t="str">
        <f>VLOOKUP($A249,'Institution Evaluation'!$A$56:$K$345,7,0)&amp;""</f>
        <v>No</v>
      </c>
      <c r="H249" s="197" t="str">
        <f>VLOOKUP($A249,'Institution Evaluation'!$A$56:$K$345,8,0)&amp;""</f>
        <v/>
      </c>
      <c r="I249" s="198" t="str">
        <f>VLOOKUP($A249,'Institution Evaluation'!$A$56:$K$345,9,0)&amp;""</f>
        <v>Critical Importance</v>
      </c>
      <c r="J249" s="251" t="str">
        <f>VLOOKUP($A249,'Institution Evaluation'!$A$56:$K$345,10,0)&amp;""</f>
        <v/>
      </c>
      <c r="K249" s="199" t="str">
        <f>IF(VLOOKUP($A249,'Institution Evaluation'!$A$56:$K$345,10,0)=TRUE(),'Auto Responses'!$J$3,"")</f>
        <v/>
      </c>
    </row>
    <row r="250" spans="1:11" ht="45" customHeight="1" x14ac:dyDescent="0.2">
      <c r="A250" s="36" t="s">
        <v>280</v>
      </c>
      <c r="B250" s="44" t="str">
        <f>VLOOKUP($A250,Questions!$A$2:$X$333,2,0)</f>
        <v>Does the system or solutions use a third party to collect, store, process, or transmit cardholder (payment/credit/debt card) data?*</v>
      </c>
      <c r="C250" s="198" t="str">
        <f>VLOOKUP($A250,'Institution Evaluation'!$A$56:$K$345,3,0)&amp;""</f>
        <v>N/A</v>
      </c>
      <c r="D250" s="198" t="str">
        <f>VLOOKUP($A250,'Institution Evaluation'!$A$56:$K$345,4,0)&amp;""</f>
        <v>This question does not apply.</v>
      </c>
      <c r="E250" s="204" t="str">
        <f>VLOOKUP($A250,'Institution Evaluation'!$A$56:$K$345,5,0)&amp;""</f>
        <v>Based on the response to REQU-06 on the "START HERE" tab, this question does not apply to this product or service.</v>
      </c>
      <c r="F250" s="207" t="str">
        <f>VLOOKUP($A250,'Institution Evaluation'!$A$56:$K$345,6,0)&amp;""</f>
        <v/>
      </c>
      <c r="G250" s="196" t="str">
        <f>VLOOKUP($A250,'Institution Evaluation'!$A$56:$K$345,7,0)&amp;""</f>
        <v>No</v>
      </c>
      <c r="H250" s="197" t="str">
        <f>VLOOKUP($A250,'Institution Evaluation'!$A$56:$K$345,8,0)&amp;""</f>
        <v/>
      </c>
      <c r="I250" s="198" t="str">
        <f>VLOOKUP($A250,'Institution Evaluation'!$A$56:$K$345,9,0)&amp;""</f>
        <v>Critical Importance</v>
      </c>
      <c r="J250" s="251" t="str">
        <f>VLOOKUP($A250,'Institution Evaluation'!$A$56:$K$345,10,0)&amp;""</f>
        <v/>
      </c>
      <c r="K250" s="199" t="str">
        <f>IF(VLOOKUP($A250,'Institution Evaluation'!$A$56:$K$345,10,0)=TRUE(),'Auto Responses'!$J$3,"")</f>
        <v/>
      </c>
    </row>
    <row r="251" spans="1:11" ht="45" customHeight="1" x14ac:dyDescent="0.2">
      <c r="A251" s="36" t="s">
        <v>281</v>
      </c>
      <c r="B251" s="44" t="str">
        <f>VLOOKUP($A251,Questions!$A$2:$X$333,2,0)</f>
        <v>Do your systems or solutions store, process, or transmit cardholder (payment/credit/debt card) data?</v>
      </c>
      <c r="C251" s="198" t="str">
        <f>VLOOKUP($A251,'Institution Evaluation'!$A$56:$K$345,3,0)&amp;""</f>
        <v>N/A</v>
      </c>
      <c r="D251" s="198" t="str">
        <f>VLOOKUP($A251,'Institution Evaluation'!$A$56:$K$345,4,0)&amp;""</f>
        <v>This question does not apply.</v>
      </c>
      <c r="E251" s="204" t="str">
        <f>VLOOKUP($A251,'Institution Evaluation'!$A$56:$K$345,5,0)&amp;""</f>
        <v>Based on the response to REQU-06 on the "START HERE" tab, this question does not apply to this product or service.</v>
      </c>
      <c r="F251" s="207" t="str">
        <f>VLOOKUP($A251,'Institution Evaluation'!$A$56:$K$345,6,0)&amp;""</f>
        <v/>
      </c>
      <c r="G251" s="196" t="str">
        <f>VLOOKUP($A251,'Institution Evaluation'!$A$56:$K$345,7,0)&amp;""</f>
        <v>Yes</v>
      </c>
      <c r="H251" s="197" t="str">
        <f>VLOOKUP($A251,'Institution Evaluation'!$A$56:$K$345,8,0)&amp;""</f>
        <v/>
      </c>
      <c r="I251" s="198" t="str">
        <f>VLOOKUP($A251,'Institution Evaluation'!$A$56:$K$345,9,0)&amp;""</f>
        <v>Standard Importance</v>
      </c>
      <c r="J251" s="251" t="str">
        <f>VLOOKUP($A251,'Institution Evaluation'!$A$56:$K$345,10,0)&amp;""</f>
        <v/>
      </c>
      <c r="K251" s="199" t="str">
        <f>IF(VLOOKUP($A251,'Institution Evaluation'!$A$56:$K$345,10,0)=TRUE(),'Auto Responses'!$J$3,"")</f>
        <v/>
      </c>
    </row>
    <row r="252" spans="1:11" ht="45" customHeight="1" x14ac:dyDescent="0.2">
      <c r="A252" s="36" t="s">
        <v>282</v>
      </c>
      <c r="B252" s="44" t="str">
        <f>VLOOKUP($A252,Questions!$A$2:$X$333,2,0)</f>
        <v>Are you compliant with the Payment Card Industry Data Security Standard (PCI DSS)?</v>
      </c>
      <c r="C252" s="198" t="str">
        <f>VLOOKUP($A252,'Institution Evaluation'!$A$56:$K$345,3,0)&amp;""</f>
        <v>N/A</v>
      </c>
      <c r="D252" s="198" t="str">
        <f>VLOOKUP($A252,'Institution Evaluation'!$A$56:$K$345,4,0)&amp;""</f>
        <v>This question does not apply.</v>
      </c>
      <c r="E252" s="204" t="str">
        <f>VLOOKUP($A252,'Institution Evaluation'!$A$56:$K$345,5,0)&amp;""</f>
        <v>Based on the response to REQU-06 on the "START HERE" tab, this question does not apply to this product or service.</v>
      </c>
      <c r="F252" s="207" t="str">
        <f>VLOOKUP($A252,'Institution Evaluation'!$A$56:$K$345,6,0)&amp;""</f>
        <v/>
      </c>
      <c r="G252" s="196" t="str">
        <f>VLOOKUP($A252,'Institution Evaluation'!$A$56:$K$345,7,0)&amp;""</f>
        <v>Yes</v>
      </c>
      <c r="H252" s="197" t="str">
        <f>VLOOKUP($A252,'Institution Evaluation'!$A$56:$K$345,8,0)&amp;""</f>
        <v/>
      </c>
      <c r="I252" s="198" t="str">
        <f>VLOOKUP($A252,'Institution Evaluation'!$A$56:$K$345,9,0)&amp;""</f>
        <v>Standard Importance</v>
      </c>
      <c r="J252" s="251" t="str">
        <f>VLOOKUP($A252,'Institution Evaluation'!$A$56:$K$345,10,0)&amp;""</f>
        <v/>
      </c>
      <c r="K252" s="199" t="str">
        <f>IF(VLOOKUP($A252,'Institution Evaluation'!$A$56:$K$345,10,0)=TRUE(),'Auto Responses'!$J$3,"")</f>
        <v/>
      </c>
    </row>
    <row r="253" spans="1:11" ht="45" customHeight="1" x14ac:dyDescent="0.2">
      <c r="A253" s="36" t="s">
        <v>283</v>
      </c>
      <c r="B253" s="44" t="str">
        <f>VLOOKUP($A253,Questions!$A$2:$X$333,2,0)</f>
        <v>Are you classified as a service provider?</v>
      </c>
      <c r="C253" s="198" t="str">
        <f>VLOOKUP($A253,'Institution Evaluation'!$A$56:$K$345,3,0)&amp;""</f>
        <v>N/A</v>
      </c>
      <c r="D253" s="198" t="str">
        <f>VLOOKUP($A253,'Institution Evaluation'!$A$56:$K$345,4,0)&amp;""</f>
        <v>This question does not apply.</v>
      </c>
      <c r="E253" s="204" t="str">
        <f>VLOOKUP($A253,'Institution Evaluation'!$A$56:$K$345,5,0)&amp;""</f>
        <v>Based on the response to REQU-06 on the "START HERE" tab, this question does not apply to this product or service.</v>
      </c>
      <c r="F253" s="207" t="str">
        <f>VLOOKUP($A253,'Institution Evaluation'!$A$56:$K$345,6,0)&amp;""</f>
        <v/>
      </c>
      <c r="G253" s="196" t="str">
        <f>VLOOKUP($A253,'Institution Evaluation'!$A$56:$K$345,7,0)&amp;""</f>
        <v>Yes</v>
      </c>
      <c r="H253" s="197" t="str">
        <f>VLOOKUP($A253,'Institution Evaluation'!$A$56:$K$345,8,0)&amp;""</f>
        <v/>
      </c>
      <c r="I253" s="198" t="str">
        <f>VLOOKUP($A253,'Institution Evaluation'!$A$56:$K$345,9,0)&amp;""</f>
        <v>Standard Importance</v>
      </c>
      <c r="J253" s="251" t="str">
        <f>VLOOKUP($A253,'Institution Evaluation'!$A$56:$K$345,10,0)&amp;""</f>
        <v/>
      </c>
      <c r="K253" s="199" t="str">
        <f>IF(VLOOKUP($A253,'Institution Evaluation'!$A$56:$K$345,10,0)=TRUE(),'Auto Responses'!$J$3,"")</f>
        <v/>
      </c>
    </row>
    <row r="254" spans="1:11" ht="45" customHeight="1" x14ac:dyDescent="0.2">
      <c r="A254" s="36" t="s">
        <v>284</v>
      </c>
      <c r="B254" s="44" t="str">
        <f>VLOOKUP($A254,Questions!$A$2:$X$333,2,0)</f>
        <v>Are you on the list of Visa approved service providers?</v>
      </c>
      <c r="C254" s="198" t="str">
        <f>VLOOKUP($A254,'Institution Evaluation'!$A$56:$K$345,3,0)&amp;""</f>
        <v>N/A</v>
      </c>
      <c r="D254" s="198" t="str">
        <f>VLOOKUP($A254,'Institution Evaluation'!$A$56:$K$345,4,0)&amp;""</f>
        <v>This question does not apply.</v>
      </c>
      <c r="E254" s="204" t="str">
        <f>VLOOKUP($A254,'Institution Evaluation'!$A$56:$K$345,5,0)&amp;""</f>
        <v>Based on the response to REQU-06 on the "START HERE" tab, this question does not apply to this product or service.</v>
      </c>
      <c r="F254" s="207" t="str">
        <f>VLOOKUP($A254,'Institution Evaluation'!$A$56:$K$345,6,0)&amp;""</f>
        <v/>
      </c>
      <c r="G254" s="196" t="str">
        <f>VLOOKUP($A254,'Institution Evaluation'!$A$56:$K$345,7,0)&amp;""</f>
        <v>Yes</v>
      </c>
      <c r="H254" s="197" t="str">
        <f>VLOOKUP($A254,'Institution Evaluation'!$A$56:$K$345,8,0)&amp;""</f>
        <v/>
      </c>
      <c r="I254" s="198" t="str">
        <f>VLOOKUP($A254,'Institution Evaluation'!$A$56:$K$345,9,0)&amp;""</f>
        <v>Standard Importance</v>
      </c>
      <c r="J254" s="251" t="str">
        <f>VLOOKUP($A254,'Institution Evaluation'!$A$56:$K$345,10,0)&amp;""</f>
        <v/>
      </c>
      <c r="K254" s="199" t="str">
        <f>IF(VLOOKUP($A254,'Institution Evaluation'!$A$56:$K$345,10,0)=TRUE(),'Auto Responses'!$J$3,"")</f>
        <v/>
      </c>
    </row>
    <row r="255" spans="1:11" ht="45" customHeight="1" x14ac:dyDescent="0.2">
      <c r="A255" s="36" t="s">
        <v>285</v>
      </c>
      <c r="B255" s="44" t="str">
        <f>VLOOKUP($A255,Questions!$A$2:$X$333,2,0)</f>
        <v>Are you classified as a merchant? If so, what level (1, 2, 3, 4)?</v>
      </c>
      <c r="C255" s="198" t="str">
        <f>VLOOKUP($A255,'Institution Evaluation'!$A$56:$K$345,3,0)&amp;""</f>
        <v>N/A</v>
      </c>
      <c r="D255" s="198" t="str">
        <f>VLOOKUP($A255,'Institution Evaluation'!$A$56:$K$345,4,0)&amp;""</f>
        <v>This question does not apply.</v>
      </c>
      <c r="E255" s="204" t="str">
        <f>VLOOKUP($A255,'Institution Evaluation'!$A$56:$K$345,5,0)&amp;""</f>
        <v>Based on the response to REQU-06 on the "START HERE" tab, this question does not apply to this product or service.</v>
      </c>
      <c r="F255" s="207" t="str">
        <f>VLOOKUP($A255,'Institution Evaluation'!$A$56:$K$345,6,0)&amp;""</f>
        <v/>
      </c>
      <c r="G255" s="196" t="str">
        <f>VLOOKUP($A255,'Institution Evaluation'!$A$56:$K$345,7,0)&amp;""</f>
        <v>Yes</v>
      </c>
      <c r="H255" s="197" t="str">
        <f>VLOOKUP($A255,'Institution Evaluation'!$A$56:$K$345,8,0)&amp;""</f>
        <v/>
      </c>
      <c r="I255" s="198" t="str">
        <f>VLOOKUP($A255,'Institution Evaluation'!$A$56:$K$345,9,0)&amp;""</f>
        <v>Standard Importance</v>
      </c>
      <c r="J255" s="251" t="str">
        <f>VLOOKUP($A255,'Institution Evaluation'!$A$56:$K$345,10,0)&amp;""</f>
        <v/>
      </c>
      <c r="K255" s="199" t="str">
        <f>IF(VLOOKUP($A255,'Institution Evaluation'!$A$56:$K$345,10,0)=TRUE(),'Auto Responses'!$J$3,"")</f>
        <v/>
      </c>
    </row>
    <row r="256" spans="1:11" ht="45" customHeight="1" x14ac:dyDescent="0.2">
      <c r="A256" s="36" t="s">
        <v>286</v>
      </c>
      <c r="B256" s="44" t="str">
        <f>VLOOKUP($A256,Questions!$A$2:$X$333,2,0)</f>
        <v>Describe the architecture employed by the system to verify and authorize credit card transactions.</v>
      </c>
      <c r="C256" s="198" t="str">
        <f>VLOOKUP($A256,'Institution Evaluation'!$A$56:$K$345,3,0)&amp;""</f>
        <v>N/A</v>
      </c>
      <c r="D256" s="198" t="str">
        <f>VLOOKUP($A256,'Institution Evaluation'!$A$56:$K$345,4,0)&amp;""</f>
        <v>This question does not apply.</v>
      </c>
      <c r="E256" s="204" t="str">
        <f>VLOOKUP($A256,'Institution Evaluation'!$A$56:$K$345,5,0)&amp;""</f>
        <v>Based on the response to REQU-06 on the "START HERE" tab, this question does not apply to this product or service.</v>
      </c>
      <c r="F256" s="207" t="str">
        <f>VLOOKUP($A256,'Institution Evaluation'!$A$56:$K$345,6,0)&amp;""</f>
        <v/>
      </c>
      <c r="G256" s="196" t="str">
        <f>VLOOKUP($A256,'Institution Evaluation'!$A$56:$K$345,7,0)&amp;""</f>
        <v>Not scored</v>
      </c>
      <c r="H256" s="197" t="str">
        <f>VLOOKUP($A256,'Institution Evaluation'!$A$56:$K$345,8,0)&amp;""</f>
        <v/>
      </c>
      <c r="I256" s="198" t="str">
        <f>VLOOKUP($A256,'Institution Evaluation'!$A$56:$K$345,9,0)&amp;""</f>
        <v/>
      </c>
      <c r="J256" s="251" t="str">
        <f>VLOOKUP($A256,'Institution Evaluation'!$A$56:$K$345,10,0)&amp;""</f>
        <v/>
      </c>
      <c r="K256" s="199" t="str">
        <f>IF(VLOOKUP($A256,'Institution Evaluation'!$A$56:$K$345,10,0)=TRUE(),'Auto Responses'!$J$3,"")</f>
        <v/>
      </c>
    </row>
    <row r="257" spans="1:13" ht="45" customHeight="1" x14ac:dyDescent="0.2">
      <c r="A257" s="36" t="s">
        <v>287</v>
      </c>
      <c r="B257" s="44" t="str">
        <f>VLOOKUP($A257,Questions!$A$2:$X$333,2,0)</f>
        <v>What payment processors/gateways does the system support?</v>
      </c>
      <c r="C257" s="198" t="str">
        <f>VLOOKUP($A257,'Institution Evaluation'!$A$56:$K$345,3,0)&amp;""</f>
        <v>N/A</v>
      </c>
      <c r="D257" s="198" t="str">
        <f>VLOOKUP($A257,'Institution Evaluation'!$A$56:$K$345,4,0)&amp;""</f>
        <v>This question does not apply.</v>
      </c>
      <c r="E257" s="204" t="str">
        <f>VLOOKUP($A257,'Institution Evaluation'!$A$56:$K$345,5,0)&amp;""</f>
        <v>Based on the response to REQU-06 on the "START HERE" tab, this question does not apply to this product or service.</v>
      </c>
      <c r="F257" s="207" t="str">
        <f>VLOOKUP($A257,'Institution Evaluation'!$A$56:$K$345,6,0)&amp;""</f>
        <v/>
      </c>
      <c r="G257" s="196" t="str">
        <f>VLOOKUP($A257,'Institution Evaluation'!$A$56:$K$345,7,0)&amp;""</f>
        <v>Not scored</v>
      </c>
      <c r="H257" s="197" t="str">
        <f>VLOOKUP($A257,'Institution Evaluation'!$A$56:$K$345,8,0)&amp;""</f>
        <v/>
      </c>
      <c r="I257" s="198" t="str">
        <f>VLOOKUP($A257,'Institution Evaluation'!$A$56:$K$345,9,0)&amp;""</f>
        <v/>
      </c>
      <c r="J257" s="251" t="str">
        <f>VLOOKUP($A257,'Institution Evaluation'!$A$56:$K$345,10,0)&amp;""</f>
        <v/>
      </c>
      <c r="K257" s="199" t="str">
        <f>IF(VLOOKUP($A257,'Institution Evaluation'!$A$56:$K$345,10,0)=TRUE(),'Auto Responses'!$J$3,"")</f>
        <v/>
      </c>
    </row>
    <row r="258" spans="1:13" ht="45" customHeight="1" x14ac:dyDescent="0.2">
      <c r="A258" s="36" t="s">
        <v>288</v>
      </c>
      <c r="B258" s="44" t="str">
        <f>VLOOKUP($A258,Questions!$A$2:$X$333,2,0)</f>
        <v>Can the application be installed in a PCI DSS–compliant manner?</v>
      </c>
      <c r="C258" s="198" t="str">
        <f>VLOOKUP($A258,'Institution Evaluation'!$A$56:$K$345,3,0)&amp;""</f>
        <v>N/A</v>
      </c>
      <c r="D258" s="198" t="str">
        <f>VLOOKUP($A258,'Institution Evaluation'!$A$56:$K$345,4,0)&amp;""</f>
        <v>This question does not apply.</v>
      </c>
      <c r="E258" s="204" t="str">
        <f>VLOOKUP($A258,'Institution Evaluation'!$A$56:$K$345,5,0)&amp;""</f>
        <v>Based on the response to REQU-06 on the "START HERE" tab, this question does not apply to this product or service.</v>
      </c>
      <c r="F258" s="207" t="str">
        <f>VLOOKUP($A258,'Institution Evaluation'!$A$56:$K$345,6,0)&amp;""</f>
        <v/>
      </c>
      <c r="G258" s="196" t="str">
        <f>VLOOKUP($A258,'Institution Evaluation'!$A$56:$K$345,7,0)&amp;""</f>
        <v>Yes</v>
      </c>
      <c r="H258" s="197" t="str">
        <f>VLOOKUP($A258,'Institution Evaluation'!$A$56:$K$345,8,0)&amp;""</f>
        <v/>
      </c>
      <c r="I258" s="198" t="str">
        <f>VLOOKUP($A258,'Institution Evaluation'!$A$56:$K$345,9,0)&amp;""</f>
        <v>Minor Importance</v>
      </c>
      <c r="J258" s="251" t="str">
        <f>VLOOKUP($A258,'Institution Evaluation'!$A$56:$K$345,10,0)&amp;""</f>
        <v/>
      </c>
      <c r="K258" s="199" t="str">
        <f>IF(VLOOKUP($A258,'Institution Evaluation'!$A$56:$K$345,10,0)=TRUE(),'Auto Responses'!$J$3,"")</f>
        <v/>
      </c>
    </row>
    <row r="259" spans="1:13" ht="67.5" customHeight="1" x14ac:dyDescent="0.15">
      <c r="A259" s="36" t="s">
        <v>289</v>
      </c>
      <c r="B259" s="44" t="str">
        <f>VLOOKUP($A259,Questions!$A$2:$X$333,2,0)</f>
        <v>Include documentation describing the system's abilities to comply with the PCI DSS and any features or capabilities of the system that must be added or changed in order to operate in compliance with the standards.</v>
      </c>
      <c r="C259" s="198" t="str">
        <f>VLOOKUP($A259,'Institution Evaluation'!$A$56:$K$345,3,0)&amp;""</f>
        <v>N/A</v>
      </c>
      <c r="D259" s="198" t="str">
        <f>VLOOKUP($A259,'Institution Evaluation'!$A$56:$K$345,4,0)&amp;""</f>
        <v>This question does not apply.</v>
      </c>
      <c r="E259" s="204" t="str">
        <f>VLOOKUP($A259,'Institution Evaluation'!$A$56:$K$345,5,0)&amp;""</f>
        <v>Based on the response to REQU-06 on the "START HERE" tab, this question does not apply to this product or service.</v>
      </c>
      <c r="F259" s="207" t="str">
        <f>VLOOKUP($A259,'Institution Evaluation'!$A$56:$K$345,6,0)&amp;""</f>
        <v/>
      </c>
      <c r="G259" s="196" t="str">
        <f>VLOOKUP($A259,'Institution Evaluation'!$A$56:$K$345,7,0)&amp;""</f>
        <v>Not scored</v>
      </c>
      <c r="H259" s="197" t="str">
        <f>VLOOKUP($A259,'Institution Evaluation'!$A$56:$K$345,8,0)&amp;""</f>
        <v/>
      </c>
      <c r="I259" s="198" t="str">
        <f>VLOOKUP($A259,'Institution Evaluation'!$A$56:$K$345,9,0)&amp;""</f>
        <v/>
      </c>
      <c r="J259" s="251" t="str">
        <f>VLOOKUP($A259,'Institution Evaluation'!$A$56:$K$345,10,0)&amp;""</f>
        <v/>
      </c>
      <c r="K259" s="199" t="str">
        <f>IF(VLOOKUP($A259,'Institution Evaluation'!$A$56:$K$345,10,0)=TRUE(),'Auto Responses'!$J$3,"")</f>
        <v/>
      </c>
      <c r="M259" s="62" t="s">
        <v>35</v>
      </c>
    </row>
    <row r="260" spans="1:13" ht="47.25" customHeight="1" x14ac:dyDescent="0.2">
      <c r="A260" s="63" t="s">
        <v>53</v>
      </c>
    </row>
    <row r="261" spans="1:13" ht="34.5" hidden="1" customHeight="1" x14ac:dyDescent="0.2"/>
    <row r="262" spans="1:13" ht="34.5" hidden="1" customHeight="1" x14ac:dyDescent="0.2"/>
    <row r="263" spans="1:13" ht="34.5" hidden="1" customHeight="1" x14ac:dyDescent="0.2"/>
    <row r="264" spans="1:13" ht="34.5" hidden="1" customHeight="1" x14ac:dyDescent="0.2"/>
    <row r="265" spans="1:13" ht="34.5" hidden="1" customHeight="1" x14ac:dyDescent="0.2"/>
  </sheetData>
  <mergeCells count="1">
    <mergeCell ref="A19:C19"/>
  </mergeCells>
  <conditionalFormatting sqref="F21:G31">
    <cfRule type="dataBar" priority="3">
      <dataBar>
        <cfvo type="num" val="0"/>
        <cfvo type="num" val="1"/>
        <color rgb="FFD0DAF0"/>
      </dataBar>
    </cfRule>
    <cfRule type="dataBar" priority="4">
      <dataBar>
        <cfvo type="num" val="0"/>
        <cfvo type="num" val="1"/>
        <color rgb="FFD0DAF0"/>
      </dataBar>
      <extLst>
        <ext xmlns:x14="http://schemas.microsoft.com/office/spreadsheetml/2009/9/main" uri="{B025F937-C7B1-47D3-B67F-A62EFF666E3E}">
          <x14:id>{F1C0A694-24CB-49DC-BCBF-1ACEA7B31449}</x14:id>
        </ext>
      </extLst>
    </cfRule>
  </conditionalFormatting>
  <conditionalFormatting sqref="H31:I31">
    <cfRule type="dataBar" priority="2">
      <dataBar>
        <cfvo type="num" val="0"/>
        <cfvo type="num" val="1"/>
        <color rgb="FF638EC6"/>
      </dataBar>
    </cfRule>
    <cfRule type="dataBar" priority="5">
      <dataBar>
        <cfvo type="num" val="0"/>
        <cfvo type="num" val="1"/>
        <color rgb="FF638EC6"/>
      </dataBar>
      <extLst>
        <ext xmlns:x14="http://schemas.microsoft.com/office/spreadsheetml/2009/9/main" uri="{B025F937-C7B1-47D3-B67F-A62EFF666E3E}">
          <x14:id>{4667B26D-EC4B-42EB-A513-24D8993811C0}</x14:id>
        </ext>
      </extLst>
    </cfRule>
  </conditionalFormatting>
  <dataValidations count="3">
    <dataValidation allowBlank="1" showInputMessage="1" showErrorMessage="1" promptTitle="Warning!" prompt="The HECVAT is built using a number of complex formulas. Editing this cell can break the functionality of the tool. " sqref="A45:E120 G46:G120 I46:I120 G130 I130 G135 I135 G142 I142 G145 I145 G150 I150 G160 I160 G164 I164 G170 I170 G173 I173 G189 I189 G192 I192 G199 I199 G207 I207 G212 I212 G217 I217 G247 I247" xr:uid="{00000000-0002-0000-0A00-000000000000}">
      <formula1>0</formula1>
      <formula2>0</formula2>
    </dataValidation>
    <dataValidation allowBlank="1" showInputMessage="1" showErrorMessage="1" prompt="This answer has been populated from the &quot;START HERE&quot; tab and does not need to be re-entered." sqref="C11:C17" xr:uid="{00000000-0002-0000-0A00-000001000000}">
      <formula1>0</formula1>
      <formula2>0</formula2>
    </dataValidation>
    <dataValidation allowBlank="1" showInputMessage="1" showErrorMessage="1" prompt="The HECVAT is built using a number of complex formulas. Editing this cell can break the functionality of the tool. " sqref="B2:J2 A3:J10 A11:B17 B20:I31 A35:K44" xr:uid="{00000000-0002-0000-0A00-000002000000}">
      <formula1>0</formula1>
      <formula2>0</formula2>
    </dataValidation>
  </dataValidations>
  <hyperlinks>
    <hyperlink ref="A10" r:id="rId1" display="http://www.educause.edu/HECVAT" xr:uid="{00000000-0004-0000-0A00-000000000000}"/>
    <hyperlink ref="G21" location="' 'Privacy Analyst Evaluation''!A46" display="' 'Privacy Analyst Evaluation''!A46" xr:uid="{00000000-0004-0000-0A00-000001000000}"/>
    <hyperlink ref="G22" location="' 'Privacy Analyst Evaluation''!A52" display="' 'Privacy Analyst Evaluation''!A52" xr:uid="{00000000-0004-0000-0A00-000002000000}"/>
    <hyperlink ref="G23" location="' 'Privacy Analyst Evaluation''!A57" display="' 'Privacy Analyst Evaluation''!A57" xr:uid="{00000000-0004-0000-0A00-000003000000}"/>
    <hyperlink ref="G24" location="' 'Privacy Analyst Evaluation''!A61" display="' 'Privacy Analyst Evaluation''!A61" xr:uid="{00000000-0004-0000-0A00-000004000000}"/>
    <hyperlink ref="G25" location="' 'Privacy Analyst Evaluation''!A64" display="' 'Privacy Analyst Evaluation''!A64" xr:uid="{00000000-0004-0000-0A00-000005000000}"/>
    <hyperlink ref="G26" location="' 'Privacy Analyst Evaluation''!A67" display="' 'Privacy Analyst Evaluation''!A67" xr:uid="{00000000-0004-0000-0A00-000006000000}"/>
    <hyperlink ref="G27" location="' 'Privacy Analyst Evaluation''!A76" display="' 'Privacy Analyst Evaluation''!A76" xr:uid="{00000000-0004-0000-0A00-000007000000}"/>
    <hyperlink ref="G28" location="' 'Privacy Analyst Evaluation''!A90" display="' 'Privacy Analyst Evaluation''!A90" xr:uid="{00000000-0004-0000-0A00-000008000000}"/>
    <hyperlink ref="G29" location="'Privacy Analyst Evaluation'!A96" display="'Privacy Analyst Evaluation'!A96" xr:uid="{00000000-0004-0000-0A00-000009000000}"/>
    <hyperlink ref="G30" location="'Privacy Analyst Evaluation'!A112" display="'Privacy Analyst Evaluation'!A112" xr:uid="{00000000-0004-0000-0A00-00000A000000}"/>
    <hyperlink ref="F46" location="'Privacy Analyst Evaluation'!A1" display="Back to Scorecard" xr:uid="{00000000-0004-0000-0A00-00000B000000}"/>
    <hyperlink ref="F52" location="'Privacy Analyst Evaluation'!A1" display="Back to Scorecard" xr:uid="{00000000-0004-0000-0A00-00000C000000}"/>
    <hyperlink ref="F57" location="'Privacy Analyst Evaluation'!A1" display="Back to Scorecard" xr:uid="{00000000-0004-0000-0A00-00000D000000}"/>
    <hyperlink ref="F61" location="'Privacy Analyst Evaluation'!A1" display="Back to Scorecard" xr:uid="{00000000-0004-0000-0A00-00000E000000}"/>
    <hyperlink ref="F64" location="'Privacy Analyst Evaluation'!A1" display="Back to Scorecard" xr:uid="{00000000-0004-0000-0A00-00000F000000}"/>
    <hyperlink ref="F67" location="'Privacy Analyst Evaluation'!A1" display="Back to Scorecard" xr:uid="{00000000-0004-0000-0A00-000010000000}"/>
    <hyperlink ref="F76" location="'Privacy Analyst Evaluation'!A1" display="Back to Scorecard" xr:uid="{00000000-0004-0000-0A00-000011000000}"/>
    <hyperlink ref="F90" location="'Privacy Analyst Evaluation'!A1" display="Back to Scorecard" xr:uid="{00000000-0004-0000-0A00-000012000000}"/>
    <hyperlink ref="F96" location="'Privacy Analyst Evaluation'!A1" display="Back to Scorecard" xr:uid="{00000000-0004-0000-0A00-000013000000}"/>
    <hyperlink ref="F112" location="'Privacy Analyst Evaluation'!A1" display="Back to Scorecard" xr:uid="{00000000-0004-0000-0A00-000014000000}"/>
    <hyperlink ref="F125" location="'Privacy Analyst Evaluation'!A1" display="Back to Scorecard" xr:uid="{00000000-0004-0000-0A00-000015000000}"/>
    <hyperlink ref="F130" location="'Privacy Analyst Evaluation'!A1" display="Back to Scorecard" xr:uid="{00000000-0004-0000-0A00-000016000000}"/>
    <hyperlink ref="F135" location="'Privacy Analyst Evaluation'!A1" display="Back to Scorecard" xr:uid="{00000000-0004-0000-0A00-000017000000}"/>
    <hyperlink ref="F142" location="'Privacy Analyst Evaluation'!A1" display="Back to Scorecard" xr:uid="{00000000-0004-0000-0A00-000018000000}"/>
    <hyperlink ref="F145" location="'Privacy Analyst Evaluation'!A1" display="Back to Scorecard" xr:uid="{00000000-0004-0000-0A00-000019000000}"/>
    <hyperlink ref="F150" location="'Privacy Analyst Evaluation'!A1" display="Back to Scorecard" xr:uid="{00000000-0004-0000-0A00-00001A000000}"/>
    <hyperlink ref="F160" location="'Privacy Analyst Evaluation'!A1" display="Back to Scorecard" xr:uid="{00000000-0004-0000-0A00-00001B000000}"/>
    <hyperlink ref="F164" location="'Privacy Analyst Evaluation'!A1" display="Back to Scorecard" xr:uid="{00000000-0004-0000-0A00-00001C000000}"/>
    <hyperlink ref="F170" location="'Privacy Analyst Evaluation'!A1" display="Back to Scorecard" xr:uid="{00000000-0004-0000-0A00-00001D000000}"/>
    <hyperlink ref="F173" location="'Privacy Analyst Evaluation'!A1" display="Back to Scorecard" xr:uid="{00000000-0004-0000-0A00-00001E000000}"/>
    <hyperlink ref="F189" location="'Privacy Analyst Evaluation'!A1" display="Back to Scorecard" xr:uid="{00000000-0004-0000-0A00-00001F000000}"/>
    <hyperlink ref="F192" location="'Privacy Analyst Evaluation'!A1" display="Back to Scorecard" xr:uid="{00000000-0004-0000-0A00-000020000000}"/>
    <hyperlink ref="F199" location="'Privacy Analyst Evaluation'!A1" display="Back to Scorecard" xr:uid="{00000000-0004-0000-0A00-000021000000}"/>
    <hyperlink ref="F207" location="'Privacy Analyst Evaluation'!A1" display="Back to Scorecard" xr:uid="{00000000-0004-0000-0A00-000022000000}"/>
    <hyperlink ref="F212" location="'Privacy Analyst Evaluation'!A1" display="Back to Scorecard" xr:uid="{00000000-0004-0000-0A00-000023000000}"/>
    <hyperlink ref="F217" location="'Privacy Analyst Evaluation'!A1" display="Back to Scorecard" xr:uid="{00000000-0004-0000-0A00-000024000000}"/>
    <hyperlink ref="F247" location="'Privacy Analyst Evaluation'!A1" display="Back to Scorecard" xr:uid="{00000000-0004-0000-0A00-000025000000}"/>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F1C0A694-24CB-49DC-BCBF-1ACEA7B31449}">
            <x14:dataBar>
              <x14:cfvo type="num">
                <xm:f>0</xm:f>
              </x14:cfvo>
              <x14:cfvo type="num">
                <xm:f>1</xm:f>
              </x14:cfvo>
              <x14:negativeFillColor rgb="FFD0DAF0"/>
              <x14:axisColor auto="1"/>
            </x14:dataBar>
          </x14:cfRule>
          <xm:sqref>F21:G31</xm:sqref>
        </x14:conditionalFormatting>
        <x14:conditionalFormatting xmlns:xm="http://schemas.microsoft.com/office/excel/2006/main">
          <x14:cfRule type="dataBar" id="{4667B26D-EC4B-42EB-A513-24D8993811C0}">
            <x14:dataBar>
              <x14:cfvo type="num">
                <xm:f>0</xm:f>
              </x14:cfvo>
              <x14:cfvo type="num">
                <xm:f>1</xm:f>
              </x14:cfvo>
              <x14:negativeFillColor rgb="FF638EC6"/>
              <x14:axisColor auto="1"/>
            </x14:dataBar>
          </x14:cfRule>
          <xm:sqref>H31:I31</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ECCA0"/>
  </sheetPr>
  <dimension ref="A1:F374"/>
  <sheetViews>
    <sheetView topLeftCell="A2" workbookViewId="0"/>
  </sheetViews>
  <sheetFormatPr baseColWidth="10" defaultColWidth="0" defaultRowHeight="16" x14ac:dyDescent="0.15"/>
  <cols>
    <col min="1" max="1" width="11" style="100" customWidth="1"/>
    <col min="2" max="2" width="57.75" style="252" customWidth="1"/>
    <col min="3" max="3" width="71.125" style="253" customWidth="1"/>
    <col min="4" max="4" width="80.25" style="254" customWidth="1"/>
    <col min="5" max="5" width="6.625" style="100"/>
    <col min="6" max="6" width="8.375" style="100" hidden="1" customWidth="1"/>
    <col min="7" max="16384" width="6.625" style="100" hidden="1"/>
  </cols>
  <sheetData>
    <row r="1" spans="1:5" ht="240" hidden="1" customHeight="1" x14ac:dyDescent="0.15">
      <c r="A1" s="100" t="s">
        <v>497</v>
      </c>
    </row>
    <row r="2" spans="1:5" ht="32" customHeight="1" x14ac:dyDescent="0.2">
      <c r="A2" s="255" t="s">
        <v>498</v>
      </c>
      <c r="B2" s="255"/>
      <c r="C2" s="255"/>
      <c r="D2" s="256" t="s">
        <v>53</v>
      </c>
    </row>
    <row r="3" spans="1:5" ht="23" customHeight="1" x14ac:dyDescent="0.2">
      <c r="A3" s="257" t="s">
        <v>499</v>
      </c>
      <c r="B3" s="258"/>
      <c r="C3" s="258"/>
      <c r="D3" s="259"/>
    </row>
    <row r="4" spans="1:5" ht="23" customHeight="1" x14ac:dyDescent="0.2">
      <c r="A4" s="260" t="s">
        <v>500</v>
      </c>
      <c r="B4" s="258"/>
      <c r="C4" s="258"/>
      <c r="D4" s="259"/>
    </row>
    <row r="5" spans="1:5" s="221" customFormat="1" ht="23" customHeight="1" x14ac:dyDescent="0.2">
      <c r="A5" s="261" t="s">
        <v>501</v>
      </c>
      <c r="B5" s="258"/>
      <c r="C5" s="258"/>
      <c r="D5" s="259"/>
    </row>
    <row r="6" spans="1:5" s="221" customFormat="1" ht="23" customHeight="1" x14ac:dyDescent="0.2">
      <c r="A6" s="261" t="s">
        <v>502</v>
      </c>
      <c r="B6" s="258"/>
      <c r="C6" s="258"/>
      <c r="D6" s="262"/>
    </row>
    <row r="7" spans="1:5" ht="23" customHeight="1" x14ac:dyDescent="0.2">
      <c r="A7" s="263" t="str">
        <f>VLOOKUP(LEFT($A8,4),'Auto Responses'!$N$4:$O$38,2,0)&amp;""</f>
        <v xml:space="preserve"> General Information</v>
      </c>
      <c r="B7" s="32"/>
      <c r="C7" s="264" t="str">
        <f>Questions!$S$2</f>
        <v>Reason for Question</v>
      </c>
      <c r="D7" s="264" t="str">
        <f>Questions!$T$2</f>
        <v>Follow-Up Inquiries/Responses</v>
      </c>
    </row>
    <row r="8" spans="1:5" x14ac:dyDescent="0.2">
      <c r="A8" s="265" t="s">
        <v>4</v>
      </c>
      <c r="B8" s="265" t="str">
        <f>VLOOKUP($A8,Questions!$A$3:$X$333,2,0)&amp;""</f>
        <v>Solution Provider Name</v>
      </c>
      <c r="C8" s="265" t="str">
        <f>VLOOKUP($A8,Questions!$A$3:$X$333,19,0)&amp;""</f>
        <v/>
      </c>
      <c r="D8" s="265" t="str">
        <f>VLOOKUP($A8,Questions!$A$3:$X$333,20,0)&amp;""</f>
        <v/>
      </c>
    </row>
    <row r="9" spans="1:5" x14ac:dyDescent="0.2">
      <c r="A9" s="265" t="s">
        <v>6</v>
      </c>
      <c r="B9" s="265" t="str">
        <f>VLOOKUP($A9,Questions!$A$3:$X$333,2,0)&amp;""</f>
        <v>Solution Name</v>
      </c>
      <c r="C9" s="265" t="str">
        <f>VLOOKUP($A9,Questions!$A$3:$X$333,19,0)&amp;""</f>
        <v/>
      </c>
      <c r="D9" s="265" t="str">
        <f>VLOOKUP($A9,Questions!$A$3:$X$333,20,0)&amp;""</f>
        <v/>
      </c>
    </row>
    <row r="10" spans="1:5" x14ac:dyDescent="0.2">
      <c r="A10" s="265" t="s">
        <v>7</v>
      </c>
      <c r="B10" s="265" t="str">
        <f>VLOOKUP($A10,Questions!$A$3:$X$333,2,0)&amp;""</f>
        <v>Solution Description</v>
      </c>
      <c r="C10" s="265" t="str">
        <f>VLOOKUP($A10,Questions!$A$3:$X$333,19,0)&amp;""</f>
        <v/>
      </c>
      <c r="D10" s="265" t="str">
        <f>VLOOKUP($A10,Questions!$A$3:$X$333,20,0)&amp;""</f>
        <v/>
      </c>
    </row>
    <row r="11" spans="1:5" x14ac:dyDescent="0.2">
      <c r="A11" s="265" t="s">
        <v>9</v>
      </c>
      <c r="B11" s="265" t="str">
        <f>VLOOKUP($A11,Questions!$A$3:$X$333,2,0)&amp;""</f>
        <v>Solution Provider Contact Name</v>
      </c>
      <c r="C11" s="265" t="str">
        <f>VLOOKUP($A11,Questions!$A$3:$X$333,19,0)&amp;""</f>
        <v/>
      </c>
      <c r="D11" s="265" t="str">
        <f>VLOOKUP($A11,Questions!$A$3:$X$333,20,0)&amp;""</f>
        <v/>
      </c>
    </row>
    <row r="12" spans="1:5" x14ac:dyDescent="0.2">
      <c r="A12" s="265" t="s">
        <v>11</v>
      </c>
      <c r="B12" s="265" t="str">
        <f>VLOOKUP($A12,Questions!$A$3:$X$333,2,0)&amp;""</f>
        <v>Solution Provider Contact Title</v>
      </c>
      <c r="C12" s="265" t="str">
        <f>VLOOKUP($A12,Questions!$A$3:$X$333,19,0)&amp;""</f>
        <v/>
      </c>
      <c r="D12" s="265" t="str">
        <f>VLOOKUP($A12,Questions!$A$3:$X$333,20,0)&amp;""</f>
        <v/>
      </c>
    </row>
    <row r="13" spans="1:5" x14ac:dyDescent="0.2">
      <c r="A13" s="265" t="s">
        <v>13</v>
      </c>
      <c r="B13" s="265" t="str">
        <f>VLOOKUP($A13,Questions!$A$3:$X$333,2,0)&amp;""</f>
        <v>Solution Provider Contact Email</v>
      </c>
      <c r="C13" s="265" t="str">
        <f>VLOOKUP($A13,Questions!$A$3:$X$333,19,0)&amp;""</f>
        <v/>
      </c>
      <c r="D13" s="265" t="str">
        <f>VLOOKUP($A13,Questions!$A$3:$X$333,20,0)&amp;""</f>
        <v/>
      </c>
    </row>
    <row r="14" spans="1:5" x14ac:dyDescent="0.2">
      <c r="A14" s="265" t="s">
        <v>15</v>
      </c>
      <c r="B14" s="265" t="str">
        <f>VLOOKUP($A14,Questions!$A$3:$X$333,2,0)&amp;""</f>
        <v>Solution Provider Contact Phone Number</v>
      </c>
      <c r="C14" s="265" t="str">
        <f>VLOOKUP($A14,Questions!$A$3:$X$333,19,0)&amp;""</f>
        <v/>
      </c>
      <c r="D14" s="265" t="str">
        <f>VLOOKUP($A14,Questions!$A$3:$X$333,20,0)&amp;""</f>
        <v/>
      </c>
    </row>
    <row r="15" spans="1:5" x14ac:dyDescent="0.2">
      <c r="A15" s="265" t="s">
        <v>17</v>
      </c>
      <c r="B15" s="265" t="str">
        <f>VLOOKUP($A15,Questions!$A$3:$X$333,2,0)&amp;""</f>
        <v>Country of Company Headquarters</v>
      </c>
      <c r="C15" s="265" t="str">
        <f>VLOOKUP($A15,Questions!$A$3:$X$333,19,0)&amp;""</f>
        <v/>
      </c>
      <c r="D15" s="265" t="str">
        <f>VLOOKUP($A15,Questions!$A$3:$X$333,20,0)&amp;""</f>
        <v/>
      </c>
    </row>
    <row r="16" spans="1:5" x14ac:dyDescent="0.15">
      <c r="A16" s="265" t="s">
        <v>19</v>
      </c>
      <c r="B16" s="265" t="str">
        <f>VLOOKUP($A16,Questions!$A$3:$X$333,2,0)&amp;""</f>
        <v>Employee Work Locations (all)</v>
      </c>
      <c r="C16" s="265" t="str">
        <f>VLOOKUP($A16,Questions!$A$3:$X$333,19,0)&amp;""</f>
        <v>Determines where solution provider employees will be physically located.</v>
      </c>
      <c r="D16" s="265" t="str">
        <f>VLOOKUP($A16,Questions!$A$3:$X$333,20,0)&amp;""</f>
        <v>Follow-up inquiries will be institution/implementation specific.</v>
      </c>
      <c r="E16" s="62" t="s">
        <v>503</v>
      </c>
    </row>
    <row r="17" spans="1:5" ht="23" customHeight="1" x14ac:dyDescent="0.2">
      <c r="A17" s="32" t="str">
        <f>VLOOKUP(LEFT($A18,4),'Auto Responses'!$N$4:$O$38,2,0)&amp;""</f>
        <v xml:space="preserve"> Company Information</v>
      </c>
      <c r="B17" s="32"/>
      <c r="C17" s="264" t="str">
        <f>Questions!$S$2</f>
        <v>Reason for Question</v>
      </c>
      <c r="D17" s="264" t="str">
        <f>Questions!$T$2</f>
        <v>Follow-Up Inquiries/Responses</v>
      </c>
    </row>
    <row r="18" spans="1:5" ht="90" customHeight="1" x14ac:dyDescent="0.2">
      <c r="A18" s="265" t="s">
        <v>25</v>
      </c>
      <c r="B18" s="265" t="str">
        <f>VLOOKUP($A18,Questions!$A$3:$X$333,2,0)&amp;""</f>
        <v>Do you have a dedicated software and system development team(s) (e.g., customer support, implementation, product management, etc.)?*</v>
      </c>
      <c r="C18" s="265"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265" t="str">
        <f>VLOOKUP($A18,Questions!$A$3:$X$333,20,0)&amp;""</f>
        <v>Follow-up inquiries for solution provider team strategies will be unique to your institution and may depend on the underlying infrastructures needed to support a system for your specific use case.</v>
      </c>
    </row>
    <row r="19" spans="1:5" ht="58" customHeight="1" x14ac:dyDescent="0.2">
      <c r="A19" s="265" t="s">
        <v>27</v>
      </c>
      <c r="B19" s="265" t="str">
        <f>VLOOKUP($A19,Questions!$A$3:$X$333,2,0)&amp;""</f>
        <v>Describe your organization’s business background and ownership structure, including all parent and subsidiary relationships.</v>
      </c>
      <c r="C19" s="265" t="str">
        <f>VLOOKUP($A19,Questions!$A$3:$X$333,19,0)&amp;""</f>
        <v>This information defines the scale of company (support, resources, skillsets), general information about the organization that may be concerning.</v>
      </c>
      <c r="D19" s="265" t="str">
        <f>VLOOKUP($A19,Questions!$A$3:$X$333,20,0)&amp;""</f>
        <v>Follow-up responses to this one are normally unique to their response. Vague answers here usually result in some footprinting of a solution provider to determine their "reputation."</v>
      </c>
    </row>
    <row r="20" spans="1:5" ht="90" customHeight="1" x14ac:dyDescent="0.2">
      <c r="A20" s="265" t="s">
        <v>29</v>
      </c>
      <c r="B20" s="265" t="str">
        <f>VLOOKUP($A20,Questions!$A$3:$X$333,2,0)&amp;""</f>
        <v>Have you operated without unplanned disruptions to this solution in the past 12 months?</v>
      </c>
      <c r="C20" s="265" t="str">
        <f>VLOOKUP($A20,Questions!$A$3:$X$333,19,0)&amp;""</f>
        <v>We want transparency from the solution provider, and an honest answer to this question, regardless of the response, is a good step in building trust.</v>
      </c>
      <c r="D20" s="265"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90" customHeight="1" x14ac:dyDescent="0.2">
      <c r="A21" s="265" t="s">
        <v>32</v>
      </c>
      <c r="B21" s="265" t="str">
        <f>VLOOKUP($A21,Questions!$A$3:$X$333,2,0)&amp;""</f>
        <v>Do you have a dedicated information security staff or office?</v>
      </c>
      <c r="C21" s="265"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265"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86" customHeight="1" x14ac:dyDescent="0.15">
      <c r="A22" s="265" t="s">
        <v>33</v>
      </c>
      <c r="B22" s="265" t="str">
        <f>VLOOKUP($A22,Questions!$A$3:$X$333,2,0)&amp;""</f>
        <v>Use this area to share information about your environment that will assist those who are assessing your company's data security program.</v>
      </c>
      <c r="C22" s="265"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265"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62" t="s">
        <v>503</v>
      </c>
    </row>
    <row r="23" spans="1:5" ht="23" customHeight="1" x14ac:dyDescent="0.2">
      <c r="A23" s="32" t="str">
        <f>VLOOKUP(LEFT($A24,4),'Auto Responses'!$N$4:$O$38,2,0)&amp;""</f>
        <v xml:space="preserve"> Required Questions</v>
      </c>
      <c r="B23" s="32"/>
      <c r="C23" s="264" t="str">
        <f>Questions!$S$2</f>
        <v>Reason for Question</v>
      </c>
      <c r="D23" s="264" t="str">
        <f>Questions!$T$2</f>
        <v>Follow-Up Inquiries/Responses</v>
      </c>
    </row>
    <row r="24" spans="1:5" s="269" customFormat="1" ht="23" customHeight="1" x14ac:dyDescent="0.2">
      <c r="A24" s="266" t="s">
        <v>504</v>
      </c>
      <c r="B24" s="267"/>
      <c r="C24" s="268"/>
      <c r="D24" s="268"/>
    </row>
    <row r="25" spans="1:5" ht="49" customHeight="1" x14ac:dyDescent="0.2">
      <c r="A25" s="265" t="s">
        <v>36</v>
      </c>
      <c r="B25" s="265" t="str">
        <f>VLOOKUP($A25,Questions!$A$3:$X$333,2,0)&amp;""</f>
        <v>Are you offering a cloud-based product?</v>
      </c>
      <c r="C25" s="265" t="s">
        <v>505</v>
      </c>
      <c r="D25" s="265" t="str">
        <f>VLOOKUP($A25,Questions!$A$3:$X$333,19,0)&amp;""</f>
        <v/>
      </c>
    </row>
    <row r="26" spans="1:5" ht="51" customHeight="1" x14ac:dyDescent="0.2">
      <c r="A26" s="265" t="s">
        <v>38</v>
      </c>
      <c r="B26" s="265" t="str">
        <f>VLOOKUP($A26,Questions!$A$3:$X$333,2,0)&amp;""</f>
        <v>Does your product or service have an interface?</v>
      </c>
      <c r="C26" s="265" t="s">
        <v>506</v>
      </c>
      <c r="D26" s="265" t="str">
        <f>VLOOKUP($A26,Questions!$A$3:$X$333,19,0)&amp;""</f>
        <v/>
      </c>
    </row>
    <row r="27" spans="1:5" x14ac:dyDescent="0.2">
      <c r="A27" s="265" t="s">
        <v>40</v>
      </c>
      <c r="B27" s="265" t="str">
        <f>VLOOKUP($A27,Questions!$A$3:$X$333,2,0)&amp;""</f>
        <v>Are you providing consulting services?</v>
      </c>
      <c r="C27" s="265" t="s">
        <v>507</v>
      </c>
      <c r="D27" s="265" t="str">
        <f>VLOOKUP($A27,Questions!$A$3:$X$333,19,0)&amp;""</f>
        <v/>
      </c>
    </row>
    <row r="28" spans="1:5" ht="36" customHeight="1" x14ac:dyDescent="0.2">
      <c r="A28" s="265" t="s">
        <v>42</v>
      </c>
      <c r="B28" s="265" t="str">
        <f>VLOOKUP($A28,Questions!$A$3:$X$333,2,0)&amp;""</f>
        <v>Does your solution have AI features, or are there plans to implement AI features in the next 12 months?</v>
      </c>
      <c r="C28" s="265" t="s">
        <v>508</v>
      </c>
      <c r="D28" s="265" t="str">
        <f>VLOOKUP($A28,Questions!$A$3:$X$333,19,0)&amp;""</f>
        <v/>
      </c>
    </row>
    <row r="29" spans="1:5" ht="54" customHeight="1" x14ac:dyDescent="0.2">
      <c r="A29" s="265" t="s">
        <v>44</v>
      </c>
      <c r="B29" s="265" t="str">
        <f>VLOOKUP($A29,Questions!$A$3:$X$333,2,0)&amp;""</f>
        <v>Does your solution process protected health information (PHI) or any data covered by the Health Insurance Portability and Accountability Act (HIPAA)?</v>
      </c>
      <c r="C29" s="265" t="s">
        <v>509</v>
      </c>
      <c r="D29" s="265" t="str">
        <f>VLOOKUP($A29,Questions!$A$3:$X$333,19,0)&amp;""</f>
        <v/>
      </c>
    </row>
    <row r="30" spans="1:5" ht="45" customHeight="1" x14ac:dyDescent="0.2">
      <c r="A30" s="265" t="s">
        <v>46</v>
      </c>
      <c r="B30" s="265" t="str">
        <f>VLOOKUP($A30,Questions!$A$3:$X$333,2,0)&amp;""</f>
        <v>Is the solution designed to process, store, or transmit credit card information?</v>
      </c>
      <c r="C30" s="265" t="s">
        <v>510</v>
      </c>
      <c r="D30" s="265" t="str">
        <f>VLOOKUP($A30,Questions!$A$3:$X$333,19,0)&amp;""</f>
        <v/>
      </c>
    </row>
    <row r="31" spans="1:5" ht="89" customHeight="1" x14ac:dyDescent="0.15">
      <c r="A31" s="265" t="s">
        <v>48</v>
      </c>
      <c r="B31" s="265"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265" t="s">
        <v>511</v>
      </c>
      <c r="D31" s="265" t="str">
        <f>VLOOKUP($A31,Questions!$A$3:$X$333,19,0)&amp;""</f>
        <v/>
      </c>
      <c r="E31" s="62" t="s">
        <v>503</v>
      </c>
    </row>
    <row r="32" spans="1:5" ht="23" customHeight="1" x14ac:dyDescent="0.2">
      <c r="A32" s="32" t="str">
        <f>VLOOKUP(LEFT($A33,4),'Auto Responses'!$N$4:$O$38,2,0)&amp;""</f>
        <v xml:space="preserve"> Documentation</v>
      </c>
      <c r="B32" s="32"/>
      <c r="C32" s="264" t="str">
        <f>Questions!$S$2</f>
        <v>Reason for Question</v>
      </c>
      <c r="D32" s="264" t="str">
        <f>Questions!$T$2</f>
        <v>Follow-Up Inquiries/Responses</v>
      </c>
    </row>
    <row r="33" spans="1:5" ht="76" customHeight="1" x14ac:dyDescent="0.2">
      <c r="A33" s="265" t="s">
        <v>55</v>
      </c>
      <c r="B33" s="265" t="str">
        <f>VLOOKUP($A33,Questions!$A$3:$X$333,2,0)&amp;""</f>
        <v>Do you have a well-documented business continuity plan (BCP), with a clear owner, that is tested annually?*</v>
      </c>
      <c r="C33" s="265" t="str">
        <f>VLOOKUP($A33,Questions!$A$3:$X$333,19,0)&amp;""</f>
        <v>Testing a business continuity plan is an important action that improves the efficiency and accuracy of a solution provider's continuity plans. Vague responses to this question should be met with concern and appropriate follow-up, based on your institutions risk tolerance.</v>
      </c>
      <c r="D33" s="265" t="str">
        <f>VLOOKUP($A33,Questions!$A$3:$X$333,20,0)&amp;""</f>
        <v/>
      </c>
    </row>
    <row r="34" spans="1:5" ht="76" customHeight="1" x14ac:dyDescent="0.2">
      <c r="A34" s="265" t="s">
        <v>56</v>
      </c>
      <c r="B34" s="265" t="str">
        <f>VLOOKUP($A34,Questions!$A$3:$X$333,2,0)&amp;""</f>
        <v>Do you have a well-documented disaster recovery plan (DRP), with a clear owner, that is tested annually?*</v>
      </c>
      <c r="C34" s="265" t="str">
        <f>VLOOKUP($A34,Questions!$A$3:$X$333,19,0)&amp;""</f>
        <v>Testing a disaster recovery plan is an important action that improves the efficiency and accuracy of a solution provider's recovery plans. Vague responses to this question should be met with concern and appropriate follow-up, based on your institutions risk tolerance.</v>
      </c>
      <c r="D34" s="265" t="str">
        <f>VLOOKUP($A34,Questions!$A$3:$X$333,20,0)&amp;""</f>
        <v/>
      </c>
    </row>
    <row r="35" spans="1:5" ht="47" customHeight="1" x14ac:dyDescent="0.2">
      <c r="A35" s="265" t="s">
        <v>57</v>
      </c>
      <c r="B35" s="265" t="str">
        <f>VLOOKUP($A35,Questions!$A$3:$X$333,2,0)&amp;""</f>
        <v>Have you undergone a SSAE 18/SOC 2 audit?</v>
      </c>
      <c r="C35" s="265" t="str">
        <f>VLOOKUP($A35,Questions!$A$3:$X$333,19,0)&amp;""</f>
        <v>SSAE 18 and SOC2 audits are standard documentation, relevant to institutions requiring a solution provider to undergo SSAE 18 audits.</v>
      </c>
      <c r="D35" s="265" t="str">
        <f>VLOOKUP($A35,Questions!$A$3:$X$333,20,0)&amp;""</f>
        <v>Follow-up inquiries for SSAE 18 content will be institution/implementation specific.</v>
      </c>
    </row>
    <row r="36" spans="1:5" ht="72" customHeight="1" x14ac:dyDescent="0.2">
      <c r="A36" s="265" t="s">
        <v>58</v>
      </c>
      <c r="B36" s="265" t="str">
        <f>VLOOKUP($A36,Questions!$A$3:$X$333,2,0)&amp;""</f>
        <v>Do you conform with a specific industry standard security framework (e.g., NIST Cybersecurity Framework, CIS Controls, ISO 27001, etc.)?</v>
      </c>
      <c r="C36" s="265" t="str">
        <f>VLOOKUP($A36,Questions!$A$3:$X$333,19,0)&amp;""</f>
        <v>The details of the standard are not the focus here; it is the fact that a solution provider builds their environment around a standard and that they continually evaluate and assess their security programs.</v>
      </c>
      <c r="D36" s="265"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86" customHeight="1" x14ac:dyDescent="0.2">
      <c r="A37" s="265" t="s">
        <v>59</v>
      </c>
      <c r="B37" s="265" t="str">
        <f>VLOOKUP($A37,Questions!$A$3:$X$333,2,0)&amp;""</f>
        <v>Can you provide overall system and/or application architecture diagrams, including a full description of the data flow for all components of the system?</v>
      </c>
      <c r="C37" s="265"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265" t="str">
        <f>VLOOKUP($A37,Questions!$A$3:$X$333,20,0)&amp;""</f>
        <v>Inquire about any privacy language the solution provider may have. It may not be ideal but there may be something available to assess or enough to have your legal counsel or policy/privacy professionals review.</v>
      </c>
    </row>
    <row r="38" spans="1:5" ht="85" customHeight="1" x14ac:dyDescent="0.2">
      <c r="A38" s="265" t="s">
        <v>60</v>
      </c>
      <c r="B38" s="265" t="str">
        <f>VLOOKUP($A38,Questions!$A$3:$X$333,2,0)&amp;""</f>
        <v>Does your organization have a data privacy policy?</v>
      </c>
      <c r="C38" s="265"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265" t="str">
        <f>VLOOKUP($A38,Questions!$A$3:$X$333,20,0)&amp;""</f>
        <v>Inquire about any privacy language the solution provider may have. It may not be ideal but there may be something available to assess or enough to have your legal counsel or policy/privacy professionals review.</v>
      </c>
    </row>
    <row r="39" spans="1:5" ht="104" customHeight="1" x14ac:dyDescent="0.15">
      <c r="A39" s="265" t="s">
        <v>62</v>
      </c>
      <c r="B39" s="265" t="str">
        <f>VLOOKUP($A39,Questions!$A$3:$X$333,2,0)&amp;""</f>
        <v>Do you have a documented, and currently implemented, employee onboarding and offboarding policy?</v>
      </c>
      <c r="C39" s="265"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265" t="str">
        <f>VLOOKUP($A39,Questions!$A$3:$X$333,20,0)&amp;""</f>
        <v>Unsatisfactory answers should be met with questions about access control authority, roles and responsibilities (of access grantors), administrative privileges within the solution provider's infrastructure(s), etc.</v>
      </c>
      <c r="E39" s="62" t="s">
        <v>503</v>
      </c>
    </row>
    <row r="40" spans="1:5" ht="23" customHeight="1" x14ac:dyDescent="0.2">
      <c r="A40" s="32" t="str">
        <f>VLOOKUP(LEFT($A41,4),'Auto Responses'!$N$4:$O$38,2,0)&amp;""</f>
        <v xml:space="preserve"> Assessment of Third Parties</v>
      </c>
      <c r="B40" s="32"/>
      <c r="C40" s="264" t="str">
        <f>Questions!$S$2</f>
        <v>Reason for Question</v>
      </c>
      <c r="D40" s="264" t="str">
        <f>Questions!$T$2</f>
        <v>Follow-Up Inquiries/Responses</v>
      </c>
    </row>
    <row r="41" spans="1:5" ht="72" customHeight="1" x14ac:dyDescent="0.2">
      <c r="A41" s="265" t="s">
        <v>63</v>
      </c>
      <c r="B41" s="265" t="str">
        <f>VLOOKUP($A41,Questions!$A$3:$X$333,2,0)&amp;""</f>
        <v>Do you perform security assessments of third-party companies with which you share data (e.g., hosting providers, cloud services, PaaS, IaaS, SaaS)?*</v>
      </c>
      <c r="C41" s="265" t="str">
        <f>VLOOKUP($A41,Questions!$A$3:$X$333,19,0)&amp;""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41" s="265" t="str">
        <f>VLOOKUP($A41,Questions!$A$3:$X$333,20,0)&amp;""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42" spans="1:5" ht="54" customHeight="1" x14ac:dyDescent="0.2">
      <c r="A42" s="265" t="s">
        <v>65</v>
      </c>
      <c r="B42" s="265" t="str">
        <f>VLOOKUP($A42,Questions!$A$3:$X$333,2,0)&amp;""</f>
        <v>Do you have contractual language in place with third parties governing access to institutional data?*</v>
      </c>
      <c r="C42" s="265" t="str">
        <f>VLOOKUP($A42,Questions!$A$3:$X$333,19,0)&amp;""</f>
        <v>The sharing of institutional data to fourth-parties may increase the risk to the institution and thus, we want to know who gets what data, when they get that data, and why they get that data.</v>
      </c>
      <c r="D42" s="265" t="str">
        <f>VLOOKUP($A42,Questions!$A$3:$X$333,20,0)&amp;""</f>
        <v>Follow-up inquiries concerning third-party data sharing will be institution/implementation specific.</v>
      </c>
    </row>
    <row r="43" spans="1:5" ht="36" customHeight="1" x14ac:dyDescent="0.2">
      <c r="A43" s="265" t="s">
        <v>67</v>
      </c>
      <c r="B43" s="265" t="str">
        <f>VLOOKUP($A43,Questions!$A$3:$X$333,2,0)&amp;""</f>
        <v>Do the contracts in place with these third parties address liability in the event of a data breach?*</v>
      </c>
      <c r="C43" s="265" t="str">
        <f>VLOOKUP($A43,Questions!$A$3:$X$333,19,0)&amp;""</f>
        <v>Knowing the protections and legal agreements in place for third-party data sharing may assist analysts in determining residual risk.</v>
      </c>
      <c r="D43" s="265" t="str">
        <f>VLOOKUP($A43,Questions!$A$3:$X$333,20,0)&amp;""</f>
        <v>Follow-up inquiries concerning legal agreements with third parties will be institution/implementation specific.</v>
      </c>
    </row>
    <row r="44" spans="1:5" ht="144" customHeight="1" x14ac:dyDescent="0.2">
      <c r="A44" s="265" t="s">
        <v>69</v>
      </c>
      <c r="B44" s="265" t="str">
        <f>VLOOKUP($A44,Questions!$A$3:$X$333,2,0)&amp;""</f>
        <v>Do you have an implemented third-party management strategy?*</v>
      </c>
      <c r="C44" s="265" t="str">
        <f>VLOOKUP($A44,Questions!$A$3:$X$333,19,0)&amp;""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44" s="265" t="str">
        <f>VLOOKUP($A44,Questions!$A$3:$X$333,20,0)&amp;""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45" spans="1:5" ht="107" customHeight="1" x14ac:dyDescent="0.2">
      <c r="A45" s="265" t="s">
        <v>70</v>
      </c>
      <c r="B45" s="265" t="str">
        <f>VLOOKUP($A45,Questions!$A$3:$X$333,2,0)&amp;""</f>
        <v>Do you have a process and implemented procedures for managing your hardware supply chain (e.g., telecommunications equipment, export licensing, computing devices)?</v>
      </c>
      <c r="C45" s="265" t="str">
        <f>VLOOKUP($A45,Questions!$A$3:$X$333,19,0)&amp;""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45" s="265" t="str">
        <f>VLOOKUP($A45,Questions!$A$3:$X$333,20,0)&amp;""</f>
        <v>Follow-up inquiries concerning hardware supply chain will be institution/implementation specific.</v>
      </c>
    </row>
    <row r="46" spans="1:5" ht="23" customHeight="1" x14ac:dyDescent="0.2">
      <c r="A46" s="32" t="str">
        <f>VLOOKUP(LEFT($A47,4),'Auto Responses'!$N$4:$O$38,2,0)&amp;""</f>
        <v xml:space="preserve"> Change Management</v>
      </c>
      <c r="B46" s="32"/>
      <c r="C46" s="264" t="str">
        <f>Questions!$S$2</f>
        <v>Reason for Question</v>
      </c>
      <c r="D46" s="264" t="str">
        <f>Questions!$T$2</f>
        <v>Follow-Up Inquiries/Responses</v>
      </c>
    </row>
    <row r="47" spans="1:5" ht="74" customHeight="1" x14ac:dyDescent="0.2">
      <c r="A47" s="265" t="s">
        <v>72</v>
      </c>
      <c r="B47" s="265" t="str">
        <f>VLOOKUP($A47,Questions!$A$3:$X$333,2,0)&amp;""</f>
        <v>Will the institution be notified of major changes to your environment that could impact the institution's security posture?*</v>
      </c>
      <c r="C47" s="265" t="str">
        <f>VLOOKUP($A47,Questions!$A$3:$X$333,19,0)&amp;""</f>
        <v>Notification expectations should be set earlier in the contract/assessment process. Timelines, correspondence medium, and playbook details are all aspects to keep in mind when assessing this response.</v>
      </c>
      <c r="D47" s="265" t="str">
        <f>VLOOKUP($A47,Questions!$A$3:$X$333,20,0)&amp;""</f>
        <v>If the solution provider's response does not cover the details outlined in the reasoning, follow up and get specific responses for each, as needed.</v>
      </c>
    </row>
    <row r="48" spans="1:5" ht="54" customHeight="1" x14ac:dyDescent="0.2">
      <c r="A48" s="265" t="s">
        <v>74</v>
      </c>
      <c r="B48" s="265" t="str">
        <f>VLOOKUP($A48,Questions!$A$3:$X$333,2,0)&amp;""</f>
        <v>Does the system support client customizations from one release to another?*</v>
      </c>
      <c r="C48" s="265" t="str">
        <f>VLOOKUP($A48,Questions!$A$3:$X$333,19,0)&amp;""</f>
        <v>The solution provider's solution characteristics and the institution's use case will determine the relevancy of this question. The purpose of this question is to understand the underlying infrastructure and how it is maintained across all customers.</v>
      </c>
      <c r="D48" s="265" t="str">
        <f>VLOOKUP($A48,Questions!$A$3:$X$333,20,0)&amp;""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49" spans="1:5" ht="79" customHeight="1" x14ac:dyDescent="0.2">
      <c r="A49" s="265" t="s">
        <v>77</v>
      </c>
      <c r="B49" s="265" t="str">
        <f>VLOOKUP($A49,Questions!$A$3:$X$333,2,0)&amp;""</f>
        <v>Do you have an implemented system configuration management process (e.g., secure "gold" images, etc.)?*</v>
      </c>
      <c r="C49" s="265" t="str">
        <f>VLOOKUP($A49,Questions!$A$3:$X$333,19,0)&amp;""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49" s="265" t="str">
        <f>VLOOKUP($A49,Questions!$A$3:$X$333,20,0)&amp;""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50" spans="1:5" ht="54" customHeight="1" x14ac:dyDescent="0.2">
      <c r="A50" s="265" t="s">
        <v>79</v>
      </c>
      <c r="B50" s="265" t="str">
        <f>VLOOKUP($A50,Questions!$A$3:$X$333,2,0)&amp;""</f>
        <v>Do you have a documented change management process?</v>
      </c>
      <c r="C50" s="265" t="str">
        <f>VLOOKUP($A50,Questions!$A$3:$X$333,19,0)&amp;""</f>
        <v>The lack of a change management function is indicative of immature program processes. Answers to this question can provide insight into how well their responses (on the HECVAT) represent their actual environment(s).</v>
      </c>
      <c r="D50" s="265" t="str">
        <f>VLOOKUP($A50,Questions!$A$3:$X$333,20,0)&amp;""</f>
        <v>If a weak response is given to this answer, response scrutiny should be increased. Questions about configuration management, system authority, and documentation are appropriate.</v>
      </c>
    </row>
    <row r="51" spans="1:5" ht="59" customHeight="1" x14ac:dyDescent="0.2">
      <c r="A51" s="265" t="s">
        <v>81</v>
      </c>
      <c r="B51" s="265" t="str">
        <f>VLOOKUP($A51,Questions!$A$3:$X$333,2,0)&amp;""</f>
        <v>Does your change management process minimally include authorization, impact analysis, testing, and validation before moving changes to production?</v>
      </c>
      <c r="C51" s="265" t="str">
        <f>VLOOKUP($A51,Questions!$A$3:$X$333,19,0)&amp;""</f>
        <v>This question outlines a mature change management process. Changes should be analyzed for impact, officially approved, tested, and performed by authorized users.</v>
      </c>
      <c r="D51" s="265" t="str">
        <f>VLOOKUP($A51,Questions!$A$3:$X$333,20,0)&amp;""</f>
        <v>If the solution provider's response does not cover the details outlined in the reasoning, follow up and get specific responses, as needed.</v>
      </c>
    </row>
    <row r="52" spans="1:5" ht="68" customHeight="1" x14ac:dyDescent="0.2">
      <c r="A52" s="265" t="s">
        <v>83</v>
      </c>
      <c r="B52" s="265" t="str">
        <f>VLOOKUP($A52,Questions!$A$3:$X$333,2,0)&amp;""</f>
        <v>Does your change management process verify that all required third-party libraries and dependencies are still supported with each major change?</v>
      </c>
      <c r="C52" s="265" t="str">
        <f>VLOOKUP($A52,Questions!$A$3:$X$333,19,0)&amp;""</f>
        <v>This question is fundamentally about supply chain. The solution provider should be able to document its procedures around tracking libraries maintained by third parties.</v>
      </c>
      <c r="D52" s="265" t="str">
        <f>VLOOKUP($A52,Questions!$A$3:$X$333,20,0)&amp;""</f>
        <v>If the solution provider's response does not cover the details outlined in the reasoning, follow-up and get specific responses for each, as needed.</v>
      </c>
    </row>
    <row r="53" spans="1:5" ht="52" customHeight="1" x14ac:dyDescent="0.2">
      <c r="A53" s="265" t="s">
        <v>85</v>
      </c>
      <c r="B53" s="265" t="str">
        <f>VLOOKUP($A53,Questions!$A$3:$X$333,2,0)&amp;""</f>
        <v>Do you have policy and procedure, currently implemented, managing how critical patches are applied to all systems and applications?</v>
      </c>
      <c r="C53" s="265" t="str">
        <f>VLOOKUP($A53,Questions!$A$3:$X$333,19,0)&amp;""</f>
        <v>Answers to this question will reveal the solution provider’s knowledge of their IT assets and their ability to respond to notifications about their systems and software.</v>
      </c>
      <c r="D53" s="265" t="str">
        <f>VLOOKUP($A53,Questions!$A$3:$X$333,20,0)&amp;""</f>
        <v>Follow-up inquiries for the solution provider’s patching practices will be institution/implementation specific.</v>
      </c>
    </row>
    <row r="54" spans="1:5" ht="85" customHeight="1" x14ac:dyDescent="0.2">
      <c r="A54" s="265" t="s">
        <v>87</v>
      </c>
      <c r="B54" s="265" t="str">
        <f>VLOOKUP($A54,Questions!$A$3:$X$333,2,0)&amp;""</f>
        <v>Have you implemented policies and procedures that guide how security risks are mitigated until patches can be applied?</v>
      </c>
      <c r="C54" s="265" t="str">
        <f>VLOOKUP($A54,Questions!$A$3:$X$333,19,0)&amp;""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54" s="265" t="str">
        <f>VLOOKUP($A54,Questions!$A$3:$X$333,20,0)&amp;""</f>
        <v>Follow-up inquiries for the solution providers patching practices will be institution/implementation specific.</v>
      </c>
    </row>
    <row r="55" spans="1:5" ht="95" customHeight="1" x14ac:dyDescent="0.2">
      <c r="A55" s="265" t="s">
        <v>89</v>
      </c>
      <c r="B55" s="265" t="str">
        <f>VLOOKUP($A55,Questions!$A$3:$X$333,2,0)&amp;""</f>
        <v>Do clients have the option to not participate in or postpone an upgrade to a new release?</v>
      </c>
      <c r="C55" s="265" t="str">
        <f>VLOOKUP($A55,Questions!$A$3:$X$333,19,0)&amp;""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55" s="265" t="str">
        <f>VLOOKUP($A55,Questions!$A$3:$X$333,20,0)&amp;""</f>
        <v>Follow-up inquiries for solution version releases will be institution/implementation specific.</v>
      </c>
    </row>
    <row r="56" spans="1:5" ht="68" customHeight="1" x14ac:dyDescent="0.2">
      <c r="A56" s="265" t="s">
        <v>91</v>
      </c>
      <c r="B56" s="265" t="str">
        <f>VLOOKUP($A56,Questions!$A$3:$X$333,2,0)&amp;""</f>
        <v>Do you have a fully implemented solution support strategy that defines how many concurrent versions you support?</v>
      </c>
      <c r="C56" s="265" t="str">
        <f>VLOOKUP($A56,Questions!$A$3:$X$333,19,0)&amp;""</f>
        <v>Supporting multiple versions of a solution is challenging. Understanding the solution provider’s strategy and resources will provide insight into its ability to adequately support their customers.</v>
      </c>
      <c r="D56" s="265" t="str">
        <f>VLOOKUP($A56,Questions!$A$3:$X$333,20,0)&amp;""</f>
        <v>Follow-up inquiries for the solution provider’s support of concurrent versions will be institution/implementation specific.</v>
      </c>
    </row>
    <row r="57" spans="1:5" ht="70" customHeight="1" x14ac:dyDescent="0.2">
      <c r="A57" s="265" t="s">
        <v>92</v>
      </c>
      <c r="B57" s="265" t="str">
        <f>VLOOKUP($A57,Questions!$A$3:$X$333,2,0)&amp;""</f>
        <v>Do you have a release schedule for product updates?</v>
      </c>
      <c r="C57" s="265" t="str">
        <f>VLOOKUP($A57,Questions!$A$3:$X$333,19,0)&amp;""</f>
        <v>Answers to this question will reveal the solution provider’s ability to plan in the short term. This is valuable information for customers so they can anticipate updates and potential bug fixes.</v>
      </c>
      <c r="D57" s="265" t="str">
        <f>VLOOKUP($A57,Questions!$A$3:$X$333,20,0)&amp;""</f>
        <v>Follow-up inquiries for the solution provider’s solution update practices will be institution/implementation specific.</v>
      </c>
    </row>
    <row r="58" spans="1:5" ht="36" customHeight="1" x14ac:dyDescent="0.15">
      <c r="A58" s="265" t="s">
        <v>94</v>
      </c>
      <c r="B58" s="265" t="str">
        <f>VLOOKUP($A58,Questions!$A$3:$X$333,2,0)&amp;""</f>
        <v>Do you have a technology roadmap, for at least the next two years, for enhancements and bug fixes for the solution being assessed?</v>
      </c>
      <c r="C58" s="265" t="str">
        <f>VLOOKUP($A58,Questions!$A$3:$X$333,19,0)&amp;""</f>
        <v>Answers to this question will reveal the solution provider’s ability to plan for the future of their solution.</v>
      </c>
      <c r="D58" s="265" t="str">
        <f>VLOOKUP($A58,Questions!$A$3:$X$333,20,0)&amp;""</f>
        <v>Follow-up inquiries for the solution provider’s technology planning practices will be institution/implementation specific.</v>
      </c>
      <c r="E58" s="62" t="s">
        <v>503</v>
      </c>
    </row>
    <row r="59" spans="1:5" ht="90" customHeight="1" x14ac:dyDescent="0.2">
      <c r="A59" s="265" t="s">
        <v>95</v>
      </c>
      <c r="B59" s="265" t="str">
        <f>VLOOKUP($A59,Questions!$A$3:$X$333,2,0)&amp;""</f>
        <v>Can solution updates be completed without institutional involvement (i.e., technically or organizationally)?</v>
      </c>
      <c r="C59" s="265" t="str">
        <f>VLOOKUP($A59,Questions!$A$3:$X$333,19,0)&amp;""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59" s="265" t="str">
        <f>VLOOKUP($A59,Questions!$A$3:$X$333,20,0)&amp;""</f>
        <v>Vague responses to this question should be investigated further. Ask for additional documentation for customer responsibilities (in the context of information technology/security).</v>
      </c>
    </row>
    <row r="60" spans="1:5" ht="87" customHeight="1" x14ac:dyDescent="0.2">
      <c r="A60" s="265" t="s">
        <v>97</v>
      </c>
      <c r="B60" s="265" t="str">
        <f>VLOOKUP($A60,Questions!$A$3:$X$333,2,0)&amp;""</f>
        <v>Are upgrades or system changes installed during off-peak hours or in a manner that does not impact the customer?</v>
      </c>
      <c r="C60" s="265" t="str">
        <f>VLOOKUP($A60,Questions!$A$3:$X$333,19,0)&amp;""</f>
        <v>Restricting system updates to a standard maintenance timeframe is important for ensuring that changes to production systems do not impact operations. It’s also important for troubleshooting any problems that may occur as a result of the changes.</v>
      </c>
      <c r="D60" s="265" t="str">
        <f>VLOOKUP($A60,Questions!$A$3:$X$333,20,0)&amp;""</f>
        <v>If the solution provider's response does not cover the details outlined in the reasoning, follow up and get specific responses, as needed.</v>
      </c>
    </row>
    <row r="61" spans="1:5" ht="70" customHeight="1" x14ac:dyDescent="0.2">
      <c r="A61" s="265" t="s">
        <v>99</v>
      </c>
      <c r="B61" s="265" t="str">
        <f>VLOOKUP($A61,Questions!$A$3:$X$333,2,0)&amp;""</f>
        <v>Do procedures exist to provide that emergency changes are documented and authorized (including after-the-fact approval)?</v>
      </c>
      <c r="C61" s="265" t="str">
        <f>VLOOKUP($A61,Questions!$A$3:$X$333,19,0)&amp;""</f>
        <v>In the context of the CIA triad, this question is focused on system integrity, ensuring that system changes are only executed by authorized users. In the event of emergency changes, accountability and post-action review are expected.</v>
      </c>
      <c r="D61" s="265" t="str">
        <f>VLOOKUP($A61,Questions!$A$3:$X$333,20,0)&amp;""</f>
        <v>Follow up with a robust question set if a solution provider cannot clearly state full control of the integrity of their system(s).</v>
      </c>
    </row>
    <row r="62" spans="1:5" ht="89" customHeight="1" x14ac:dyDescent="0.2">
      <c r="A62" s="265" t="s">
        <v>100</v>
      </c>
      <c r="B62" s="265" t="str">
        <f>VLOOKUP($A62,Questions!$A$3:$X$333,2,0)&amp;""</f>
        <v>Do you have a systems management and configuration strategy that encompasses servers, appliances, cloud services, applications, and mobile devices (company and employee owned)?</v>
      </c>
      <c r="C62" s="265" t="str">
        <f>VLOOKUP($A62,Questions!$A$3:$X$333,19,0)&amp;""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2" s="265" t="str">
        <f>VLOOKUP($A62,Questions!$A$3:$X$333,20,0)&amp;""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3" spans="1:5" ht="23" customHeight="1" x14ac:dyDescent="0.2">
      <c r="A63" s="32" t="str">
        <f>VLOOKUP(LEFT($A64,4),'Auto Responses'!$N$4:$O$38,2,0)&amp;""</f>
        <v xml:space="preserve"> Policies, Processes, and Procedures</v>
      </c>
      <c r="B63" s="32"/>
      <c r="C63" s="264" t="str">
        <f>Questions!$S$2</f>
        <v>Reason for Question</v>
      </c>
      <c r="D63" s="264" t="str">
        <f>Questions!$T$2</f>
        <v>Follow-Up Inquiries/Responses</v>
      </c>
    </row>
    <row r="64" spans="1:5" ht="100" customHeight="1" x14ac:dyDescent="0.15">
      <c r="A64" s="265" t="s">
        <v>101</v>
      </c>
      <c r="B64" s="265" t="str">
        <f>VLOOKUP($A64,Questions!$A$3:$X$333,2,0)&amp;""</f>
        <v>Do you have a documented patch management process?*</v>
      </c>
      <c r="C64" s="265" t="str">
        <f>VLOOKUP($A64,Questions!$A$3:$X$333,19,0)&amp;""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64" s="265" t="str">
        <f>VLOOKUP($A64,Questions!$A$3:$X$333,20,0)&amp;""</f>
        <v>Follow up with a robust question set if the solution provider cannot clearly state full control of their system patching strategy. Questions about patch testing, testing environments, threat mitigation, incident remediation, etc., are appropriate.</v>
      </c>
      <c r="E64" s="62" t="s">
        <v>503</v>
      </c>
    </row>
    <row r="65" spans="1:5" ht="66" customHeight="1" x14ac:dyDescent="0.2">
      <c r="A65" s="265" t="s">
        <v>103</v>
      </c>
      <c r="B65" s="265" t="str">
        <f>VLOOKUP($A65,Questions!$A$3:$X$333,2,0)&amp;""</f>
        <v>Can your organization comply with institutional policies on privacy and data protection with regard to users of institutional systems, if required?*</v>
      </c>
      <c r="C65" s="265" t="str">
        <f>VLOOKUP($A65,Questions!$A$3:$X$333,19,0)&amp;""</f>
        <v>This is a general inquiry to determine if the solution provider has reviewed the institution's policies and is committed to complying with them.</v>
      </c>
      <c r="D65" s="265" t="str">
        <f>VLOOKUP($A65,Questions!$A$3:$X$333,20,0)&amp;""</f>
        <v>If a solution provider is vague in their response, follow up with direct questions about the institution's policies and ensure the expectation of compliance is clear with the solution provider.</v>
      </c>
    </row>
    <row r="66" spans="1:5" ht="68" customHeight="1" x14ac:dyDescent="0.2">
      <c r="A66" s="265" t="s">
        <v>105</v>
      </c>
      <c r="B66" s="265" t="str">
        <f>VLOOKUP($A66,Questions!$A$3:$X$333,2,0)&amp;""</f>
        <v>Is your company subject to the institution's geographic region's laws and regulations?*</v>
      </c>
      <c r="C66" s="265" t="str">
        <f>VLOOKUP($A66,Questions!$A$3:$X$333,19,0)&amp;""</f>
        <v>This is a general inquiry to determine if the solution provider is well-versed in applicable laws and regulations that apply in the institution's region of business operation.</v>
      </c>
      <c r="D66" s="265" t="str">
        <f>VLOOKUP($A66,Questions!$A$3:$X$333,20,0)&amp;""</f>
        <v>If a solution provider is vague in their response, follow up with direct questions about doing business in your state/region/country and any laws that are pertinent to the institution.</v>
      </c>
    </row>
    <row r="67" spans="1:5" ht="94" customHeight="1" x14ac:dyDescent="0.2">
      <c r="A67" s="265" t="s">
        <v>107</v>
      </c>
      <c r="B67" s="265" t="str">
        <f>VLOOKUP($A67,Questions!$A$3:$X$333,2,0)&amp;""</f>
        <v>Can you accommodate encryption requirements using open standards?</v>
      </c>
      <c r="C67" s="265" t="str">
        <f>VLOOKUP($A67,Questions!$A$3:$X$333,19,0)&amp;""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67" s="265" t="str">
        <f>VLOOKUP($A67,Questions!$A$3:$X$333,20,0)&amp;""</f>
        <v>If the solution provider cannot accommodate open standards encryption requirements, direct them to NIST's Cryptographic Standards and Guidelines document &lt;https://csrc.nist.gov/Projects/Cryptographic-Standards-and-Guidelines&gt;.</v>
      </c>
    </row>
    <row r="68" spans="1:5" ht="54" customHeight="1" x14ac:dyDescent="0.2">
      <c r="A68" s="265" t="s">
        <v>109</v>
      </c>
      <c r="B68" s="265" t="str">
        <f>VLOOKUP($A68,Questions!$A$3:$X$333,2,0)&amp;""</f>
        <v>Do you have a documented systems development life cycle (SDLC)?</v>
      </c>
      <c r="C68" s="265" t="str">
        <f>VLOOKUP($A68,Questions!$A$3:$X$333,19,0)&amp;""</f>
        <v>Mature solution lifecycle management can position a solution provider to sufficiently plan, implement, and manage systems that better protect institutional data.</v>
      </c>
      <c r="D68" s="265" t="str">
        <f>VLOOKUP($A68,Questions!$A$3:$X$333,20,0)&amp;""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69" spans="1:5" ht="87" customHeight="1" x14ac:dyDescent="0.2">
      <c r="A69" s="265" t="s">
        <v>110</v>
      </c>
      <c r="B69" s="265" t="str">
        <f>VLOOKUP($A69,Questions!$A$3:$X$333,2,0)&amp;""</f>
        <v>Do you perform background screenings or multi-state background checks on all employees prior to their first day of work?</v>
      </c>
      <c r="C69" s="265" t="str">
        <f>VLOOKUP($A69,Questions!$A$3:$X$333,19,0)&amp;""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69" s="265" t="str">
        <f>VLOOKUP($A69,Questions!$A$3:$X$333,20,0)&amp;""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70" spans="1:5" ht="95" customHeight="1" x14ac:dyDescent="0.2">
      <c r="A70" s="265" t="s">
        <v>111</v>
      </c>
      <c r="B70" s="265" t="str">
        <f>VLOOKUP($A70,Questions!$A$3:$X$333,2,0)&amp;""</f>
        <v>Do you require new employees to fill out agreements and review policies?</v>
      </c>
      <c r="C70" s="265" t="str">
        <f>VLOOKUP($A70,Questions!$A$3:$X$333,19,0)&amp;""</f>
        <v>Setting the expectation of performance and increasing awareness of security-related responsibilities are part of these initial-hiring documents. Oftentimes these agreements and reviews are conducted during orientation for new employees.</v>
      </c>
      <c r="D70" s="265" t="str">
        <f>VLOOKUP($A70,Questions!$A$3:$X$333,20,0)&amp;""</f>
        <v>If a solution provider's practices are not clear, inquire about training requirements for employees, especially the frequency and scope of content.</v>
      </c>
    </row>
    <row r="71" spans="1:5" ht="162" customHeight="1" x14ac:dyDescent="0.2">
      <c r="A71" s="265" t="s">
        <v>112</v>
      </c>
      <c r="B71" s="265" t="str">
        <f>VLOOKUP($A71,Questions!$A$3:$X$333,2,0)&amp;""</f>
        <v>Do you have a documented information security policy?</v>
      </c>
      <c r="C71" s="265" t="str">
        <f>VLOOKUP($A71,Questions!$A$3:$X$333,19,0)&amp;""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71" s="265" t="str">
        <f>VLOOKUP($A71,Questions!$A$3:$X$333,20,0)&amp;""</f>
        <v>If the solution provider does not have an incident response plan, point them to the NIST Computer Security Incident Handling Guide &lt;https://csrc.nist.gov/publications/detail/sp/800-61/rev-2/final&gt;.</v>
      </c>
    </row>
    <row r="72" spans="1:5" s="270" customFormat="1" ht="90" customHeight="1" x14ac:dyDescent="0.2">
      <c r="A72" s="265" t="s">
        <v>113</v>
      </c>
      <c r="B72" s="265" t="str">
        <f>VLOOKUP($A72,Questions!$A$3:$X$333,2,0)&amp;""</f>
        <v>Are information security principles designed into the product lifecycle?</v>
      </c>
      <c r="C72" s="265" t="str">
        <f>VLOOKUP($A72,Questions!$A$3:$X$333,19,0)&amp;""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72" s="265" t="str">
        <f>VLOOKUP($A72,Questions!$A$3:$X$333,20,0)&amp;""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73" spans="1:5" ht="83" customHeight="1" x14ac:dyDescent="0.2">
      <c r="A73" s="265" t="s">
        <v>115</v>
      </c>
      <c r="B73" s="265" t="str">
        <f>VLOOKUP($A73,Questions!$A$3:$X$333,2,0)&amp;""</f>
        <v>Will you comply with applicable breach notification laws?</v>
      </c>
      <c r="C73" s="265" t="str">
        <f>VLOOKUP($A73,Questions!$A$3:$X$333,19,0)&amp;""</f>
        <v>This is a general inquiry to determine if the solution provider is well-versed in applicable laws and regulations that apply in the institution's region of business operation.</v>
      </c>
      <c r="D73" s="265" t="str">
        <f>VLOOKUP($A73,Questions!$A$3:$X$333,20,0)&amp;""</f>
        <v>If a solution provider is vague in their response, follow up with direct questions about doing business in your state/region/country and any laws that are pertinent to the institution.</v>
      </c>
    </row>
    <row r="74" spans="1:5" s="270" customFormat="1" ht="94" customHeight="1" x14ac:dyDescent="0.15">
      <c r="A74" s="265" t="s">
        <v>117</v>
      </c>
      <c r="B74" s="265" t="str">
        <f>VLOOKUP($A74,Questions!$A$3:$X$333,2,0)&amp;""</f>
        <v>Do you have an information security awareness program?</v>
      </c>
      <c r="C74" s="265" t="str">
        <f>VLOOKUP($A74,Questions!$A$3:$X$333,19,0)&amp;""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4" s="265" t="str">
        <f>VLOOKUP($A74,Questions!$A$3:$X$333,20,0)&amp;""</f>
        <v>Follow-up inquiries for information security awareness programs will be institution/implementation specific.</v>
      </c>
      <c r="E74" s="62" t="s">
        <v>503</v>
      </c>
    </row>
    <row r="75" spans="1:5" ht="72" customHeight="1" x14ac:dyDescent="0.2">
      <c r="A75" s="265" t="s">
        <v>118</v>
      </c>
      <c r="B75" s="265" t="str">
        <f>VLOOKUP($A75,Questions!$A$3:$X$333,2,0)&amp;""</f>
        <v>Is security awareness training mandatory for all employees?</v>
      </c>
      <c r="C75" s="265" t="str">
        <f>VLOOKUP($A75,Questions!$A$3:$X$333,19,0)&amp;""</f>
        <v>Setting the expectation of security-related responsibilities throughout an organization is favored in an information security awareness program. Solution Providers without an information security awareness campaign should be met with scrutiny on how security policies and procedures are implemented in their environment.</v>
      </c>
      <c r="D75" s="265" t="str">
        <f>VLOOKUP($A75,Questions!$A$3:$X$333,20,0)&amp;""</f>
        <v>Follow-up inquiries for information security awareness programs will be institution/implementation specific.</v>
      </c>
    </row>
    <row r="76" spans="1:5" ht="96" customHeight="1" x14ac:dyDescent="0.2">
      <c r="A76" s="265" t="s">
        <v>119</v>
      </c>
      <c r="B76" s="265" t="str">
        <f>VLOOKUP($A76,Questions!$A$3:$X$333,2,0)&amp;""</f>
        <v>Do you have process and procedure(s) documented, and currently followed, that require a review and update of the access list(s) for privileged accounts?</v>
      </c>
      <c r="C76" s="265" t="str">
        <f>VLOOKUP($A76,Questions!$A$3:$X$333,19,0)&amp;""</f>
        <v>Protecting privileged accounts is crucial to maintaining system integrity in any environment. This question is targeting privilege creep and unmanaged privileged accounts to determine if the solution provider properly manages access control in their application/system environments.</v>
      </c>
      <c r="D76" s="265" t="str">
        <f>VLOOKUP($A76,Questions!$A$3:$X$333,20,0)&amp;""</f>
        <v>Ask the solution provider to summarize their implemented policies and/or procedures.</v>
      </c>
    </row>
    <row r="77" spans="1:5" ht="96" customHeight="1" x14ac:dyDescent="0.2">
      <c r="A77" s="265" t="s">
        <v>120</v>
      </c>
      <c r="B77" s="265" t="str">
        <f>VLOOKUP($A77,Questions!$A$3:$X$333,2,0)&amp;""</f>
        <v>Do you have documented, and currently implemented, internal audit processes and procedures?</v>
      </c>
      <c r="C77" s="265" t="str">
        <f>VLOOKUP($A77,Questions!$A$3:$X$333,19,0)&amp;""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77" s="265" t="str">
        <f>VLOOKUP($A77,Questions!$A$3:$X$333,20,0)&amp;""</f>
        <v>Follow-up inquiries for internal audit processes and procedures will be institution/implementation specific.</v>
      </c>
    </row>
    <row r="78" spans="1:5" ht="73" customHeight="1" x14ac:dyDescent="0.2">
      <c r="A78" s="265" t="s">
        <v>121</v>
      </c>
      <c r="B78" s="265" t="str">
        <f>VLOOKUP($A78,Questions!$A$3:$X$333,2,0)&amp;""</f>
        <v>Does your organization have physical security controls and policies in place?</v>
      </c>
      <c r="C78" s="265" t="str">
        <f>VLOOKUP($A78,Questions!$A$3:$X$333,19,0)&amp;""</f>
        <v>This question aims to understand the physical security state of the solution provider's operating environment and whether or not physical assets are appropriately protected.</v>
      </c>
      <c r="D78" s="265" t="str">
        <f>VLOOKUP($A78,Questions!$A$3:$X$333,20,0)&amp;""</f>
        <v>Follow-up inquiries for physical security controls and policies will be institution/implementation specific.</v>
      </c>
    </row>
    <row r="79" spans="1:5" ht="23" customHeight="1" x14ac:dyDescent="0.2">
      <c r="A79" s="32" t="str">
        <f>VLOOKUP(LEFT($A80,4),'Auto Responses'!$N$4:$O$38,2,0)&amp;""</f>
        <v xml:space="preserve"> Authentication, Authorization, and Account Management</v>
      </c>
      <c r="B79" s="32"/>
      <c r="C79" s="264" t="str">
        <f>Questions!$S$2</f>
        <v>Reason for Question</v>
      </c>
      <c r="D79" s="264" t="str">
        <f>Questions!$T$2</f>
        <v>Follow-Up Inquiries/Responses</v>
      </c>
    </row>
    <row r="80" spans="1:5" ht="100" customHeight="1" x14ac:dyDescent="0.2">
      <c r="A80" s="265" t="s">
        <v>124</v>
      </c>
      <c r="B80" s="265" t="str">
        <f>VLOOKUP($A80,Questions!$A$3:$X$333,2,0)&amp;""</f>
        <v>Does your solution support single sign-on (SSO) protocols for user and administrator authentication?*</v>
      </c>
      <c r="C80" s="265" t="str">
        <f>VLOOKUP($A80,Questions!$A$3:$X$333,19,0)&amp;""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80" s="265" t="str">
        <f>VLOOKUP($A80,Questions!$A$3:$X$333,20,0)&amp;""</f>
        <v>Follow-up inquiries for IAM requirements will be institution/implementation specific.</v>
      </c>
    </row>
    <row r="81" spans="1:5" ht="90" customHeight="1" x14ac:dyDescent="0.2">
      <c r="A81" s="265" t="s">
        <v>125</v>
      </c>
      <c r="B81" s="265" t="str">
        <f>VLOOKUP($A81,Questions!$A$3:$X$333,2,0)&amp;""</f>
        <v>For customers not using SSO, does your solution support local authentication protocols for user and administrator authentication?*</v>
      </c>
      <c r="C81" s="265" t="str">
        <f>VLOOKUP($A81,Questions!$A$3:$X$333,19,0)&amp;""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81" s="265" t="str">
        <f>VLOOKUP($A81,Questions!$A$3:$X$333,20,0)&amp;""</f>
        <v>The content of this response may or may not have value for the type of use case on the institution. Follow-up inquiries for authentication modes will be institution/implementation specific.</v>
      </c>
    </row>
    <row r="82" spans="1:5" s="270" customFormat="1" ht="71" customHeight="1" x14ac:dyDescent="0.2">
      <c r="A82" s="265" t="s">
        <v>126</v>
      </c>
      <c r="B82" s="265" t="str">
        <f>VLOOKUP($A82,Questions!$A$3:$X$333,2,0)&amp;""</f>
        <v>For customers not using SSO, can you enforce password/passphrase complexity requirements (provided by the institution)?*</v>
      </c>
      <c r="C82" s="265" t="str">
        <f>VLOOKUP($A82,Questions!$A$3:$X$333,19,0)&amp;""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2" s="265" t="str">
        <f>VLOOKUP($A82,Questions!$A$3:$X$333,20,0)&amp;""</f>
        <v>Follow-up inquiries for password/passphrase complexity requirements will be institution/implementation specific.</v>
      </c>
    </row>
    <row r="83" spans="1:5" ht="79" customHeight="1" x14ac:dyDescent="0.2">
      <c r="A83" s="265" t="s">
        <v>127</v>
      </c>
      <c r="B83" s="265" t="str">
        <f>VLOOKUP($A83,Questions!$A$3:$X$333,2,0)&amp;""</f>
        <v>For customers not using SSO, does the system have password complexity or length limitations and/or restrictions?*</v>
      </c>
      <c r="C83" s="265" t="str">
        <f>VLOOKUP($A83,Questions!$A$3:$X$333,19,0)&amp;""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83" s="265" t="str">
        <f>VLOOKUP($A83,Questions!$A$3:$X$333,20,0)&amp;""</f>
        <v>Follow-up inquiries for password/passphrase limitations and/or restrictions will be institution/implementation specific.</v>
      </c>
    </row>
    <row r="84" spans="1:5" ht="97" customHeight="1" x14ac:dyDescent="0.2">
      <c r="A84" s="265" t="s">
        <v>128</v>
      </c>
      <c r="B84" s="265" t="str">
        <f>VLOOKUP($A84,Questions!$A$3:$X$333,2,0)&amp;""</f>
        <v>For customers not using SSO, do you have documented password/passphrase reset procedures that are currently implemented in the system and/or customer support?*</v>
      </c>
      <c r="C84" s="265" t="str">
        <f>VLOOKUP($A84,Questions!$A$3:$X$333,19,0)&amp;""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84" s="265" t="str">
        <f>VLOOKUP($A84,Questions!$A$3:$X$333,20,0)&amp;""</f>
        <v>Ask the solution provider how end users will be supported. Ask for training documentation or knowledgebase content. Confirm solution provider and institution responsibilities in this support area (and others).</v>
      </c>
    </row>
    <row r="85" spans="1:5" ht="84" customHeight="1" x14ac:dyDescent="0.2">
      <c r="A85" s="265" t="s">
        <v>129</v>
      </c>
      <c r="B85" s="265" t="str">
        <f>VLOOKUP($A85,Questions!$A$3:$X$333,2,0)&amp;""</f>
        <v>Does your organization participate in InCommon or another eduGAIN-affiliated trust federation?*</v>
      </c>
      <c r="C85" s="265" t="str">
        <f>VLOOKUP($A85,Questions!$A$3:$X$333,19,0)&amp;""</f>
        <v>This question defines the solution provider's scope of federated identity practices and their willingness to embrace higher education requirements.</v>
      </c>
      <c r="D85" s="265" t="str">
        <f>VLOOKUP($A85,Questions!$A$3:$X$333,20,0)&amp;""</f>
        <v>If a solution provider indicates that a system is stand-alone and cannot integrate with community standards, follow up with maturity questions and ask about other commodity type functions or other system requirements your institution may have.</v>
      </c>
      <c r="E85" s="226"/>
    </row>
    <row r="86" spans="1:5" ht="70" customHeight="1" x14ac:dyDescent="0.2">
      <c r="A86" s="265" t="s">
        <v>130</v>
      </c>
      <c r="B86" s="265" t="str">
        <f>VLOOKUP($A86,Questions!$A$3:$X$333,2,0)&amp;""</f>
        <v>Are there any passwords/passphrases hard-coded into your systems or solutions?*</v>
      </c>
      <c r="C86" s="265" t="str">
        <f>VLOOKUP($A86,Questions!$A$3:$X$333,19,0)&amp;""</f>
        <v>The response to this question can reveal the use (or not) of coding best practices. If passwords/passphrases are hard-coded into systems/productions, the solution provider should provide robust details supporting why this is required.</v>
      </c>
      <c r="D86" s="265" t="str">
        <f>VLOOKUP($A86,Questions!$A$3:$X$333,20,0)&amp;""</f>
        <v>Vague responses to this question should be met with concern. Repeat the question if the first answer is insufficient. Ask pointedly to ensure the solution provider is not misunderstanding.</v>
      </c>
      <c r="E86" s="226"/>
    </row>
    <row r="87" spans="1:5" ht="74" customHeight="1" x14ac:dyDescent="0.2">
      <c r="A87" s="265" t="s">
        <v>131</v>
      </c>
      <c r="B87" s="265" t="str">
        <f>VLOOKUP($A87,Questions!$A$3:$X$333,2,0)&amp;""</f>
        <v>Are you storing any passwords in plaintext?*</v>
      </c>
      <c r="C87" s="265" t="str">
        <f>VLOOKUP($A87,Questions!$A$3:$X$333,19,0)&amp;""</f>
        <v>The focus of this question is confidentiality. It is a straightforward question confirming the encryption of user authentication details.</v>
      </c>
      <c r="D87" s="265" t="str">
        <f>VLOOKUP($A87,Questions!$A$3:$X$333,20,0)&amp;""</f>
        <v>Follow-up inquiries for password/passphrase encrypted storage will be institution/implementation specific.</v>
      </c>
    </row>
    <row r="88" spans="1:5" ht="78" customHeight="1" x14ac:dyDescent="0.2">
      <c r="A88" s="265" t="s">
        <v>132</v>
      </c>
      <c r="B88" s="265" t="str">
        <f>VLOOKUP($A88,Questions!$A$3:$X$333,2,0)&amp;""</f>
        <v>Are audit logs available that include AT LEAST all of the following: login, logout, actions performed, and source IP address?*</v>
      </c>
      <c r="C88" s="265" t="str">
        <f>VLOOKUP($A88,Questions!$A$3:$X$333,19,0)&amp;""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88" s="265" t="str">
        <f>VLOOKUP($A88,Questions!$A$3:$X$333,20,0)&amp;""</f>
        <v>If a weak response is given, it is appropriate to ask directed questions to get specific information. Ensure that questions are targeted to ensure responses will come from the appropriate party within the solution provider.</v>
      </c>
    </row>
    <row r="89" spans="1:5" ht="119" customHeight="1" x14ac:dyDescent="0.15">
      <c r="A89" s="265" t="s">
        <v>133</v>
      </c>
      <c r="B89" s="265" t="str">
        <f>VLOOKUP($A89,Questions!$A$3:$X$333,2,0)&amp;""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89" s="265" t="str">
        <f>VLOOKUP($A89,Questions!$A$3:$X$333,19,0)&amp;""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89" s="265" t="str">
        <f>VLOOKUP($A89,Questions!$A$3:$X$333,20,0)&amp;""</f>
        <v>If a weak response is given, it is appropriate to ask directed questions to get specific information. Ensure that questions are targeted to ensure responses will come from the appropriate party within the solution provider.</v>
      </c>
      <c r="E89" s="62" t="s">
        <v>503</v>
      </c>
    </row>
    <row r="90" spans="1:5" ht="93" customHeight="1" x14ac:dyDescent="0.2">
      <c r="A90" s="265" t="s">
        <v>134</v>
      </c>
      <c r="B90" s="265" t="str">
        <f>VLOOKUP($A90,Questions!$A$3:$X$333,2,0)&amp;""</f>
        <v>Can you provide the institution documentation regarding the retention period for those logs, how logs are protected, and whether they are accessible to the customer (and if so, how)?*</v>
      </c>
      <c r="C90" s="265" t="str">
        <f>VLOOKUP($A90,Questions!$A$3:$X$333,19,0)&amp;""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90" s="265" t="str">
        <f>VLOOKUP($A90,Questions!$A$3:$X$333,20,0)&amp;""</f>
        <v>Follow-up inquiries for logging details will be institution/implementation specific.</v>
      </c>
    </row>
    <row r="91" spans="1:5" ht="104" customHeight="1" x14ac:dyDescent="0.2">
      <c r="A91" s="265" t="s">
        <v>135</v>
      </c>
      <c r="B91" s="265" t="str">
        <f>VLOOKUP($A91,Questions!$A$3:$X$333,2,0)&amp;""</f>
        <v>For customers not using SSO, does your application support integration with other authentication and authorization systems?</v>
      </c>
      <c r="C91" s="265" t="str">
        <f>VLOOKUP($A91,Questions!$A$3:$X$333,19,0)&amp;""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91" s="265" t="str">
        <f>VLOOKUP($A91,Questions!$A$3:$X$333,20,0)&amp;""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92" spans="1:5" ht="62" customHeight="1" x14ac:dyDescent="0.2">
      <c r="A92" s="265" t="s">
        <v>136</v>
      </c>
      <c r="B92" s="265" t="str">
        <f>VLOOKUP($A92,Questions!$A$3:$X$333,2,0)&amp;""</f>
        <v>Do you allow the customer to specify attribute mappings for any needed information beyond a user identifier? (e.g., Reference eduPerson, ePPA/ePPN/ePE)</v>
      </c>
      <c r="C92" s="265" t="str">
        <f>VLOOKUP($A92,Questions!$A$3:$X$333,19,0)&amp;""</f>
        <v>This questions allows an institution to know solution provider system limitations and to help them gauge the resources (that may be needed to implement) required to successfully integrate the solution with institution systems.</v>
      </c>
      <c r="D92" s="265" t="str">
        <f>VLOOKUP($A92,Questions!$A$3:$X$333,20,0)&amp;""</f>
        <v>Follow-up inquiries for attribute mapping requirements will be institution/implementation specific.</v>
      </c>
    </row>
    <row r="93" spans="1:5" ht="90" customHeight="1" x14ac:dyDescent="0.2">
      <c r="A93" s="265" t="s">
        <v>137</v>
      </c>
      <c r="B93" s="265" t="str">
        <f>VLOOKUP($A93,Questions!$A$3:$X$333,2,0)&amp;""</f>
        <v>For customers not using SSO, does your application support directory integration for user accounts?</v>
      </c>
      <c r="C93" s="265" t="str">
        <f>VLOOKUP($A93,Questions!$A$3:$X$333,19,0)&amp;""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93" s="265" t="str">
        <f>VLOOKUP($A93,Questions!$A$3:$X$333,20,0)&amp;""</f>
        <v>Follow-up inquiries for system authentication will be unique to your institution (e.g., policy, infrastructure, etc.).</v>
      </c>
    </row>
    <row r="94" spans="1:5" ht="72" customHeight="1" x14ac:dyDescent="0.2">
      <c r="A94" s="265" t="s">
        <v>138</v>
      </c>
      <c r="B94" s="265" t="str">
        <f>VLOOKUP($A94,Questions!$A$3:$X$333,2,0)&amp;""</f>
        <v>Does your solution support any of the following web SSO standards: SAML2 (with redirect flow), OIDC, CAS, or other?</v>
      </c>
      <c r="C94" s="265" t="str">
        <f>VLOOKUP($A94,Questions!$A$3:$X$333,19,0)&amp;""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4" s="265" t="str">
        <f>VLOOKUP($A94,Questions!$A$3:$X$333,20,0)&amp;""</f>
        <v>Follow-up inquiries for IAM requirements will be institution/implementation specific.</v>
      </c>
    </row>
    <row r="95" spans="1:5" ht="76" customHeight="1" x14ac:dyDescent="0.2">
      <c r="A95" s="265" t="s">
        <v>139</v>
      </c>
      <c r="B95" s="265" t="str">
        <f>VLOOKUP($A95,Questions!$A$3:$X$333,2,0)&amp;""</f>
        <v>Do you support differentiation between email address and user identifier?</v>
      </c>
      <c r="C95" s="265" t="str">
        <f>VLOOKUP($A95,Questions!$A$3:$X$333,19,0)&amp;""</f>
        <v>This questions allows an institution to know solution provider system limitations and to help them gauge the resources (that may be needed to implement) required to successfully integrate the solution with institution systems.</v>
      </c>
      <c r="D95" s="265" t="str">
        <f>VLOOKUP($A95,Questions!$A$3:$X$333,20,0)&amp;""</f>
        <v>Follow-up inquiries for identifier requirements will be institution/implementation specific.</v>
      </c>
    </row>
    <row r="96" spans="1:5" ht="90" customHeight="1" x14ac:dyDescent="0.2">
      <c r="A96" s="265" t="s">
        <v>140</v>
      </c>
      <c r="B96" s="265" t="str">
        <f>VLOOKUP($A96,Questions!$A$3:$X$333,2,0)&amp;""</f>
        <v>For customers not using SSO, does your application and/or user frontend/portal support multifactor authentication (e.g., Duo, Google Authenticator, OTP, etc.)?</v>
      </c>
      <c r="C96" s="265" t="str">
        <f>VLOOKUP($A96,Questions!$A$3:$X$333,19,0)&amp;""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96" s="265" t="str">
        <f>VLOOKUP($A96,Questions!$A$3:$X$333,20,0)&amp;""</f>
        <v>Ask the solution provider about hardware and software options, future roadmap for implementations and support, etc.</v>
      </c>
    </row>
    <row r="97" spans="1:5" ht="36" customHeight="1" x14ac:dyDescent="0.2">
      <c r="A97" s="265" t="s">
        <v>141</v>
      </c>
      <c r="B97" s="265" t="str">
        <f>VLOOKUP($A97,Questions!$A$3:$X$333,2,0)&amp;""</f>
        <v>Does your application automatically lock the session or log out an account after a period of inactivity?</v>
      </c>
      <c r="C97" s="265" t="str">
        <f>VLOOKUP($A97,Questions!$A$3:$X$333,19,0)&amp;""</f>
        <v>This is a question to ensure account integrity and institutional data confidentiality.</v>
      </c>
      <c r="D97" s="265" t="str">
        <f>VLOOKUP($A97,Questions!$A$3:$X$333,20,0)&amp;""</f>
        <v>Follow-up inquiries for inactivity protections will be institution/implementation specific.</v>
      </c>
    </row>
    <row r="98" spans="1:5" ht="23" customHeight="1" x14ac:dyDescent="0.2">
      <c r="A98" s="32" t="str">
        <f>VLOOKUP(LEFT($A99,4),'Auto Responses'!$N$4:$O$38,2,0)&amp;""</f>
        <v xml:space="preserve"> Data</v>
      </c>
      <c r="B98" s="32"/>
      <c r="C98" s="264" t="str">
        <f>Questions!$S$2</f>
        <v>Reason for Question</v>
      </c>
      <c r="D98" s="264" t="str">
        <f>Questions!$T$2</f>
        <v>Follow-Up Inquiries/Responses</v>
      </c>
    </row>
    <row r="99" spans="1:5" ht="68" customHeight="1" x14ac:dyDescent="0.2">
      <c r="A99" s="265" t="s">
        <v>142</v>
      </c>
      <c r="B99" s="265" t="str">
        <f>VLOOKUP($A99,Questions!$A$3:$X$333,2,0)&amp;""</f>
        <v>Will the institution's data be stored on any devices (database servers, file servers, SAN, NAS, etc.) configured with non-RFC 1918/4193 (i.e., publicly routable) IP addresses?*</v>
      </c>
      <c r="C99" s="265" t="str">
        <f>VLOOKUP($A99,Questions!$A$3:$X$333,19,0)&amp;""</f>
        <v>Systems that are directly exposed to public internet resources are at greater risk than those that are not. Understanding the requirements for this configuration is important, particularly when assessing compensating controls.</v>
      </c>
      <c r="D99" s="265" t="str">
        <f>VLOOKUP($A99,Questions!$A$3:$X$333,20,0)&amp;""</f>
        <v>Ask the solution provider about its infrastructure and if there is a solution that eliminates the need for this environment.</v>
      </c>
    </row>
    <row r="100" spans="1:5" ht="76" customHeight="1" x14ac:dyDescent="0.2">
      <c r="A100" s="265" t="s">
        <v>143</v>
      </c>
      <c r="B100" s="265" t="str">
        <f>VLOOKUP($A100,Questions!$A$3:$X$333,2,0)&amp;""</f>
        <v>Is the transport of sensitive data encrypted using security protocols/algorithms (e.g., system-to-client)?*</v>
      </c>
      <c r="C100" s="265" t="str">
        <f>VLOOKUP($A100,Questions!$A$3:$X$333,19,0)&amp;""</f>
        <v>The need for encryption in transport is unique to your institution's implementation of a system. In particular, the data flow between the system and the end users of the solution.</v>
      </c>
      <c r="D100" s="265" t="str">
        <f>VLOOKUP($A100,Questions!$A$3:$X$333,20,0)&amp;""</f>
        <v>Follow-up inquiries for data encryption between the system and end-users will be institution/implementation specific.</v>
      </c>
    </row>
    <row r="101" spans="1:5" ht="101" customHeight="1" x14ac:dyDescent="0.2">
      <c r="A101" s="265" t="s">
        <v>144</v>
      </c>
      <c r="B101" s="265" t="str">
        <f>VLOOKUP($A101,Questions!$A$3:$X$333,2,0)&amp;""</f>
        <v>Is the storage of sensitive data encrypted using security protocols/algorithms (e.g., disk encryption, at-rest, files, and within a running database)?*</v>
      </c>
      <c r="C101" s="265" t="str">
        <f>VLOOKUP($A101,Questions!$A$3:$X$333,19,0)&amp;""</f>
        <v>The need for encryption at-rest is unique to your institution's implementation of a system. In particular, system components, architectures, and data flows all factor into the need for this control.</v>
      </c>
      <c r="D101" s="265" t="str">
        <f>VLOOKUP($A101,Questions!$A$3:$X$333,20,0)&amp;""</f>
        <v>Follow-up inquiries for data encryption at-rest will be institution/implementation specific.</v>
      </c>
    </row>
    <row r="102" spans="1:5" ht="91" customHeight="1" x14ac:dyDescent="0.2">
      <c r="A102" s="265" t="s">
        <v>145</v>
      </c>
      <c r="B102" s="265" t="str">
        <f>VLOOKUP($A102,Questions!$A$3:$X$333,2,0)&amp;""</f>
        <v>Do all cryptographic modules in use in your solution conform to the Federal Information Processing Standards (FIPS PUB 140-2 or 140-3)?*</v>
      </c>
      <c r="C102" s="265" t="str">
        <f>VLOOKUP($A102,Questions!$A$3:$X$333,19,0)&amp;""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02" s="265" t="str">
        <f>VLOOKUP($A102,Questions!$A$3:$X$333,20,0)&amp;""</f>
        <v>If the solution provider cannot accommodate open standards encryption requirements, direct them to NIST's Cryptographic Standards and Guidelines document &lt;https://csrc.nist.gov/Projects/Cryptographic-Standards-and-Guidelines&gt;.</v>
      </c>
      <c r="E102" s="226"/>
    </row>
    <row r="103" spans="1:5" ht="72" customHeight="1" x14ac:dyDescent="0.2">
      <c r="A103" s="265" t="s">
        <v>146</v>
      </c>
      <c r="B103" s="265" t="str">
        <f>VLOOKUP($A103,Questions!$A$3:$X$333,2,0)&amp;""</f>
        <v>Will the institution's data be available within the system for a period of time at the completion of this contract?*</v>
      </c>
      <c r="C103" s="265" t="str">
        <f>VLOOKUP($A103,Questions!$A$3:$X$333,19,0)&amp;""</f>
        <v>When cancelling a solution, an institution will commonly want all institutional data that was provided to a solution provider. This questions allows the solution provider to state their general practices when a customer leaves their environment.</v>
      </c>
      <c r="D103" s="265" t="str">
        <f>VLOOKUP($A103,Questions!$A$3:$X$333,20,0)&amp;""</f>
        <v>A solution provider's response should be clear and concise. Be wary of vague responses to this questions and inquire about export specifics, as needed.</v>
      </c>
      <c r="E103" s="226"/>
    </row>
    <row r="104" spans="1:5" ht="68" customHeight="1" x14ac:dyDescent="0.2">
      <c r="A104" s="265" t="s">
        <v>147</v>
      </c>
      <c r="B104" s="265" t="str">
        <f>VLOOKUP($A104,Questions!$A$3:$X$333,2,0)&amp;""</f>
        <v>Are ownership rights to all data, inputs, outputs, and metadata retained even through a provider acquisition or bankruptcy event?*</v>
      </c>
      <c r="C104" s="265" t="str">
        <f>VLOOKUP($A104,Questions!$A$3:$X$333,19,0)&amp;""</f>
        <v>This question clarifies the position of the institution in the case of acquisition or bankruptcy. Expect clear responses to this question. If they are vague, be sure to follow up based on institutional counsel guidance.</v>
      </c>
      <c r="D104" s="265" t="str">
        <f>VLOOKUP($A104,Questions!$A$3:$X$333,20,0)&amp;""</f>
        <v>If a solution provider's response is unsatisfactory, engage institutional counsel to appropriately address any ownership concerns.</v>
      </c>
    </row>
    <row r="105" spans="1:5" ht="82" customHeight="1" x14ac:dyDescent="0.2">
      <c r="A105" s="265" t="s">
        <v>148</v>
      </c>
      <c r="B105" s="265" t="str">
        <f>VLOOKUP($A105,Questions!$A$3:$X$333,2,0)&amp;""</f>
        <v>Do backups containing the institution's data ever leave the institution's data zone either physically or via network routing?*</v>
      </c>
      <c r="C105" s="265" t="str">
        <f>VLOOKUP($A105,Questions!$A$3:$X$333,19,0)&amp;""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05" s="265" t="str">
        <f>VLOOKUP($A105,Questions!$A$3:$X$333,20,0)&amp;""</f>
        <v>Follow-up inquiries for data backup procedures/practices will be institution/implementation specific.</v>
      </c>
    </row>
    <row r="106" spans="1:5" ht="89" customHeight="1" x14ac:dyDescent="0.2">
      <c r="A106" s="265" t="s">
        <v>149</v>
      </c>
      <c r="B106" s="265" t="str">
        <f>VLOOKUP($A106,Questions!$A$3:$X$333,2,0)&amp;""</f>
        <v>Is media used for long-term retention of business data and archival purposes stored in a secure, environmentally protected area?*</v>
      </c>
      <c r="C106" s="265" t="str">
        <f>VLOOKUP($A106,Questions!$A$3:$X$333,19,0)&amp;""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06" s="265" t="str">
        <f>VLOOKUP($A106,Questions!$A$3:$X$333,20,0)&amp;""</f>
        <v>Vague responses to this question should be investigated further. Ask for additional documentation and verify that procedure (and possibly training) exists to ensure proper media handling activity.</v>
      </c>
    </row>
    <row r="107" spans="1:5" ht="115" customHeight="1" x14ac:dyDescent="0.2">
      <c r="A107" s="265" t="s">
        <v>150</v>
      </c>
      <c r="B107" s="265" t="str">
        <f>VLOOKUP($A107,Questions!$A$3:$X$333,2,0)&amp;""</f>
        <v>At the completion of this contract, will data be returned to the institution and/or deleted from all your systems and archives?</v>
      </c>
      <c r="C107" s="265" t="str">
        <f>VLOOKUP($A107,Questions!$A$3:$X$333,19,0)&amp;""</f>
        <v>When cancelling a solution, an institution will commonly want all institutional data that was provided to a solution provider. This question allows the solution provider to state its general practices when a customer leaves its environment.</v>
      </c>
      <c r="D107" s="265" t="str">
        <f>VLOOKUP($A107,Questions!$A$3:$X$333,20,0)&amp;""</f>
        <v>A solution provider's response should be clear and concise. Be wary of vague responses to this questions and inquire about export specifics, as needed.</v>
      </c>
    </row>
    <row r="108" spans="1:5" ht="54" customHeight="1" x14ac:dyDescent="0.2">
      <c r="A108" s="265" t="s">
        <v>151</v>
      </c>
      <c r="B108" s="265" t="str">
        <f>VLOOKUP($A108,Questions!$A$3:$X$333,2,0)&amp;""</f>
        <v>Can the institution extract a full or partial backup of data?</v>
      </c>
      <c r="C108" s="265" t="str">
        <f>VLOOKUP($A108,Questions!$A$3:$X$333,19,0)&amp;""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08" s="265" t="str">
        <f>VLOOKUP($A108,Questions!$A$3:$X$333,20,0)&amp;""</f>
        <v>A solution provider's response should be clear and concise. Be wary of vague responses to this questions and inquire about export specifics, as needed.</v>
      </c>
    </row>
    <row r="109" spans="1:5" ht="66" customHeight="1" x14ac:dyDescent="0.2">
      <c r="A109" s="265" t="s">
        <v>152</v>
      </c>
      <c r="B109" s="265" t="str">
        <f>VLOOKUP($A109,Questions!$A$3:$X$333,2,0)&amp;""</f>
        <v>Do current backups include all operating system software, utilities, security software, application software, and data files necessary for recovery?</v>
      </c>
      <c r="C109" s="265" t="str">
        <f>VLOOKUP($A109,Questions!$A$3:$X$333,19,0)&amp;""</f>
        <v>The purpose of this question is to define the scope of backup operations and the scope at which a solution provider may readily recover when backup restoration is required.</v>
      </c>
      <c r="D109" s="265" t="str">
        <f>VLOOKUP($A109,Questions!$A$3:$X$333,20,0)&amp;""</f>
        <v>Follow-up inquiries for backup content scope will be institution/implementation specific.</v>
      </c>
    </row>
    <row r="110" spans="1:5" ht="86" customHeight="1" x14ac:dyDescent="0.2">
      <c r="A110" s="265" t="s">
        <v>153</v>
      </c>
      <c r="B110" s="265" t="str">
        <f>VLOOKUP($A110,Questions!$A$3:$X$333,2,0)&amp;""</f>
        <v>Are you performing off-site backups (i.e., digitally moved off site)?</v>
      </c>
      <c r="C110" s="265" t="str">
        <f>VLOOKUP($A110,Questions!$A$3:$X$333,19,0)&amp;""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10" s="265" t="str">
        <f>VLOOKUP($A110,Questions!$A$3:$X$333,20,0)&amp;""</f>
        <v>Follow-up inquiries for off-site, digital backups will be institution/implementation specific.</v>
      </c>
    </row>
    <row r="111" spans="1:5" ht="81" customHeight="1" x14ac:dyDescent="0.2">
      <c r="A111" s="265" t="s">
        <v>154</v>
      </c>
      <c r="B111" s="265" t="str">
        <f>VLOOKUP($A111,Questions!$A$3:$X$333,2,0)&amp;""</f>
        <v>Are physical backups taken off-site (i.e., physically moved off site)?</v>
      </c>
      <c r="C111" s="265" t="str">
        <f>VLOOKUP($A111,Questions!$A$3:$X$333,19,0)&amp;""</f>
        <v>When data is moved physically (e.g., print, etc.) off-site, the policies and implemented procedures are important to know. Unencrypted data taken outside secured areas introduces unnecessary risks.</v>
      </c>
      <c r="D111" s="265" t="str">
        <f>VLOOKUP($A111,Questions!$A$3:$X$333,20,0)&amp;""</f>
        <v>Follow-up inquiries for off-site, physical backups will be institution/implementation specific.</v>
      </c>
    </row>
    <row r="112" spans="1:5" ht="78" customHeight="1" x14ac:dyDescent="0.2">
      <c r="A112" s="265" t="s">
        <v>155</v>
      </c>
      <c r="B112" s="265" t="str">
        <f>VLOOKUP($A112,Questions!$A$3:$X$333,2,0)&amp;""</f>
        <v>Are data backups encrypted?</v>
      </c>
      <c r="C112" s="265" t="str">
        <f>VLOOKUP($A112,Questions!$A$3:$X$333,19,0)&amp;""</f>
        <v>The need for encryption at rest (for backups) is unique to your institution's implementation of a system. In particular, system components, architectures, and data flows all factor into the need for this control.</v>
      </c>
      <c r="D112" s="265" t="str">
        <f>VLOOKUP($A112,Questions!$A$3:$X$333,20,0)&amp;""</f>
        <v>Follow-up inquiries for data backup encryption at-rest will be institution/implementation specific.</v>
      </c>
    </row>
    <row r="113" spans="1:5" ht="72" customHeight="1" x14ac:dyDescent="0.2">
      <c r="A113" s="265" t="s">
        <v>156</v>
      </c>
      <c r="B113" s="265" t="str">
        <f>VLOOKUP($A113,Questions!$A$3:$X$333,2,0)&amp;""</f>
        <v>Do you have a media handling process that is documented and currently implemented that meets established business needs and regulatory requirements, including end-of-life, repurposing, and data-sanitization procedures?</v>
      </c>
      <c r="C113" s="265" t="str">
        <f>VLOOKUP($A113,Questions!$A$3:$X$333,19,0)&amp;""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3" s="265" t="str">
        <f>VLOOKUP($A113,Questions!$A$3:$X$333,20,0)&amp;""</f>
        <v>Vague responses to this question should be investigated further. Ask for additional documentation and verify that procedure (and possibly training) exists to ensure proper media handling activity.</v>
      </c>
    </row>
    <row r="114" spans="1:5" ht="89" customHeight="1" x14ac:dyDescent="0.15">
      <c r="A114" s="265" t="s">
        <v>157</v>
      </c>
      <c r="B114" s="265" t="str">
        <f>VLOOKUP($A114,Questions!$A$3:$X$333,2,0)&amp;""</f>
        <v>Does the process described in DATA-15 adhere to DoD 5220.22-M and/or NIST SP 800-88 standards?</v>
      </c>
      <c r="C114" s="265" t="str">
        <f>VLOOKUP($A114,Questions!$A$3:$X$333,19,0)&amp;""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14" s="265" t="str">
        <f>VLOOKUP($A114,Questions!$A$3:$X$333,20,0)&amp;""</f>
        <v>Follow-up inquiries for DoD 5220.22-M and/or SP800-88 standards will be institution specific.</v>
      </c>
      <c r="E114" s="62" t="s">
        <v>503</v>
      </c>
    </row>
    <row r="115" spans="1:5" ht="72" customHeight="1" x14ac:dyDescent="0.2">
      <c r="A115" s="265" t="s">
        <v>158</v>
      </c>
      <c r="B115" s="265" t="str">
        <f>VLOOKUP($A115,Questions!$A$3:$X$333,2,0)&amp;""</f>
        <v>Does your staff (or third party) have access to institutional data (e.g., financial, PHI, or other sensitive information) through any means?</v>
      </c>
      <c r="C115" s="265" t="str">
        <f>VLOOKUP($A115,Questions!$A$3:$X$333,19,0)&amp;""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15" s="265" t="str">
        <f>VLOOKUP($A115,Questions!$A$3:$X$333,20,0)&amp;""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16" spans="1:5" ht="191" customHeight="1" x14ac:dyDescent="0.2">
      <c r="A116" s="265" t="s">
        <v>159</v>
      </c>
      <c r="B116" s="265" t="str">
        <f>VLOOKUP($A116,Questions!$A$3:$X$333,2,0)&amp;""</f>
        <v>Do you have a documented and currently implemented strategy for securing employee workstations when they work remotely (i.e., not in a trusted computing environment)?</v>
      </c>
      <c r="C116" s="265" t="str">
        <f>VLOOKUP($A116,Questions!$A$3:$X$333,19,0)&amp;""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16" s="265" t="str">
        <f>VLOOKUP($A116,Questions!$A$3:$X$333,20,0)&amp;""</f>
        <v>Vague responses to this question should be investigated further. Ask for additional documentation and verify that procedure (and possibly training) exists to ensure proper customer data handling activity.</v>
      </c>
    </row>
    <row r="117" spans="1:5" ht="122" customHeight="1" x14ac:dyDescent="0.2">
      <c r="A117" s="265" t="s">
        <v>160</v>
      </c>
      <c r="B117" s="265" t="str">
        <f>VLOOKUP($A117,Questions!$A$3:$X$333,2,0)&amp;""</f>
        <v>Does the environment provide for dedicated single-tenant capabilities? If not, describe how your solution or environment separates data from different customers (e.g., logically, physically, single tenancy, multi-tenancy).</v>
      </c>
      <c r="C117" s="265" t="str">
        <f>VLOOKUP($A117,Questions!$A$3:$X$333,19,0)&amp;""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17" s="265" t="str">
        <f>VLOOKUP($A117,Questions!$A$3:$X$333,20,0)&amp;""</f>
        <v>Follow-up inquiries for dedicated single-tenant capabilities will be institution/implementation specific.</v>
      </c>
    </row>
    <row r="118" spans="1:5" ht="98" customHeight="1" x14ac:dyDescent="0.2">
      <c r="A118" s="265" t="s">
        <v>161</v>
      </c>
      <c r="B118" s="265" t="str">
        <f>VLOOKUP($A118,Questions!$A$3:$X$333,2,0)&amp;""</f>
        <v>Are ownership rights to all data, inputs, outputs, and metadata retained by the institution?</v>
      </c>
      <c r="C118" s="265" t="str">
        <f>VLOOKUP($A118,Questions!$A$3:$X$333,19,0)&amp;""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18" s="265" t="str">
        <f>VLOOKUP($A118,Questions!$A$3:$X$333,20,0)&amp;""</f>
        <v>If a solution provider's response is unsatisfactory, engage institutional counsel to appropriately address any ownership concerns.</v>
      </c>
      <c r="E118" s="226"/>
    </row>
    <row r="119" spans="1:5" ht="86" customHeight="1" x14ac:dyDescent="0.2">
      <c r="A119" s="265" t="s">
        <v>162</v>
      </c>
      <c r="B119" s="265" t="str">
        <f>VLOOKUP($A119,Questions!$A$3:$X$333,2,0)&amp;""</f>
        <v>In the event of imminent bankruptcy, closing of business, or retirement of service, will you provide 90 days for customers to get their data out of the system and migrate applications?</v>
      </c>
      <c r="C119" s="265" t="str">
        <f>VLOOKUP($A119,Questions!$A$3:$X$333,19,0)&amp;""</f>
        <v>This question clarifies the position of the institution in the case of acquisition or bankruptcy. Expect clear responses to this question. If they are vague, be sure to follow up based on institutional counsel guidance.</v>
      </c>
      <c r="D119" s="265" t="str">
        <f>VLOOKUP($A119,Questions!$A$3:$X$333,20,0)&amp;""</f>
        <v>If a solution provider's response is unsatisfactory, engage institutional counsel to appropriately address any ownership concerns.</v>
      </c>
      <c r="E119" s="226"/>
    </row>
    <row r="120" spans="1:5" ht="89" customHeight="1" x14ac:dyDescent="0.2">
      <c r="A120" s="265" t="s">
        <v>163</v>
      </c>
      <c r="B120" s="265" t="str">
        <f>VLOOKUP($A120,Questions!$A$3:$X$333,2,0)&amp;""</f>
        <v>Are involatile backup copies made according to predefined schedules and securely stored and protected?</v>
      </c>
      <c r="C120" s="265" t="str">
        <f>VLOOKUP($A120,Questions!$A$3:$X$333,19,0)&amp;""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20" s="265" t="str">
        <f>VLOOKUP($A120,Questions!$A$3:$X$333,20,0)&amp;""</f>
        <v>An institution's use case will drive the requirements for backup strategy. Ensure that the institution's use case and risk tolerance can be met by solution provider systems.</v>
      </c>
    </row>
    <row r="121" spans="1:5" ht="109" customHeight="1" x14ac:dyDescent="0.2">
      <c r="A121" s="265" t="s">
        <v>164</v>
      </c>
      <c r="B121" s="265" t="str">
        <f>VLOOKUP($A121,Questions!$A$3:$X$333,2,0)&amp;""</f>
        <v>Do you have a cryptographic key management process (generation, exchange, storage, safeguards, use, vetting, and replacement) that is documented and currently implemented, for all system components (e.g., database, system, web, etc.)?</v>
      </c>
      <c r="C121" s="265" t="str">
        <f>VLOOKUP($A121,Questions!$A$3:$X$333,19,0)&amp;""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21" s="265" t="str">
        <f>VLOOKUP($A121,Questions!$A$3:$X$333,20,0)&amp;""</f>
        <v>Follow up with the solution provider to ensure that all components of the system are considered. This includes system-to-system, system-to-client, applications, system accounts, etc.</v>
      </c>
    </row>
    <row r="122" spans="1:5" ht="23" customHeight="1" x14ac:dyDescent="0.2">
      <c r="A122" s="32" t="str">
        <f>VLOOKUP(LEFT($A123,4),'Auto Responses'!$N$4:$O$38,2,0)&amp;""</f>
        <v xml:space="preserve"> Application/Service Security</v>
      </c>
      <c r="B122" s="32"/>
      <c r="C122" s="264" t="str">
        <f>Questions!$S$2</f>
        <v>Reason for Question</v>
      </c>
      <c r="D122" s="264" t="str">
        <f>Questions!$T$2</f>
        <v>Follow-Up Inquiries/Responses</v>
      </c>
    </row>
    <row r="123" spans="1:5" ht="107" customHeight="1" x14ac:dyDescent="0.2">
      <c r="A123" s="271" t="s">
        <v>166</v>
      </c>
      <c r="B123" s="265" t="str">
        <f>VLOOKUP($A123,Questions!$A$3:$X$333,2,0)&amp;""</f>
        <v>Are access controls for institutional accounts based on structured rules, such as role-based access control (RBAC), attribute-based access control (ABAC), or policy-based access control (PBAC)?*</v>
      </c>
      <c r="C123" s="265" t="str">
        <f>VLOOKUP($A123,Questions!$A$3:$X$333,19,0)&amp;""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123" s="265" t="str">
        <f>VLOOKUP($A123,Questions!$A$3:$X$333,20,0)&amp;""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124" spans="1:5" ht="112" customHeight="1" x14ac:dyDescent="0.2">
      <c r="A124" s="265" t="s">
        <v>167</v>
      </c>
      <c r="B124" s="265" t="str">
        <f>VLOOKUP($A124,Questions!$A$3:$X$333,2,0)&amp;""</f>
        <v>Are you using a web application firewall (WAF)?*</v>
      </c>
      <c r="C124" s="265" t="str">
        <f>VLOOKUP($A124,Questions!$A$3:$X$333,19,0)&amp;""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124" s="265" t="str">
        <f>VLOOKUP($A124,Questions!$A$3:$X$333,20,0)&amp;""</f>
        <v>If a solution provider states that they outsource their code development and do not run a WAF, there is elevated reason for concern. Verify how code is tested, monitored, and controlled in production environments.</v>
      </c>
    </row>
    <row r="125" spans="1:5" ht="95" customHeight="1" x14ac:dyDescent="0.2">
      <c r="A125" s="265" t="s">
        <v>168</v>
      </c>
      <c r="B125" s="265" t="str">
        <f>VLOOKUP($A125,Questions!$A$3:$X$333,2,0)&amp;""</f>
        <v>Are only currently supported operating system(s), software, and libraries leveraged by the system(s)/application(s) that will have access to institution's data?*</v>
      </c>
      <c r="C125" s="265" t="str">
        <f>VLOOKUP($A125,Questions!$A$3:$X$333,19,0)&amp;""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125" s="265" t="str">
        <f>VLOOKUP($A125,Questions!$A$3:$X$333,20,0)&amp;""</f>
        <v>Follow-up inquiries for operating systems leveraged by the solution provider will be institution/implementation specific.</v>
      </c>
    </row>
    <row r="126" spans="1:5" ht="62" customHeight="1" x14ac:dyDescent="0.2">
      <c r="A126" s="265" t="s">
        <v>169</v>
      </c>
      <c r="B126" s="265" t="str">
        <f>VLOOKUP($A126,Questions!$A$3:$X$333,2,0)&amp;""</f>
        <v>Does your application require access to location or GPS data?*</v>
      </c>
      <c r="C126" s="265" t="str">
        <f>VLOOKUP($A126,Questions!$A$3:$X$333,19,0)&amp;""</f>
        <v>Sharing location data significantly increases risk factors for users. It's important to understand if this is required.</v>
      </c>
      <c r="D126" s="265" t="str">
        <f>VLOOKUP($A126,Questions!$A$3:$X$333,20,0)&amp;""</f>
        <v>Ask the solution provider about the need for this requirement, and understand any mitigation strategies that may be possible.</v>
      </c>
    </row>
    <row r="127" spans="1:5" ht="99" customHeight="1" x14ac:dyDescent="0.2">
      <c r="A127" s="265" t="s">
        <v>170</v>
      </c>
      <c r="B127" s="265" t="str">
        <f>VLOOKUP($A127,Questions!$A$3:$X$333,2,0)&amp;""</f>
        <v>Does your application provide separation of duties between security administration, system administration, and standard user functions?*</v>
      </c>
      <c r="C127" s="265" t="str">
        <f>VLOOKUP($A127,Questions!$A$3:$X$333,19,0)&amp;""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127" s="265" t="str">
        <f>VLOOKUP($A127,Questions!$A$3:$X$333,20,0)&amp;""</f>
        <v>Ask the solution provider to summarize their best practices for securing their system(s) administratively without the use of RBAC. Make sure to understand the administrative requirements/overhead introduced in the solution provider's environment.</v>
      </c>
    </row>
    <row r="128" spans="1:5" ht="106" customHeight="1" x14ac:dyDescent="0.2">
      <c r="A128" s="265" t="s">
        <v>171</v>
      </c>
      <c r="B128" s="265" t="str">
        <f>VLOOKUP($A128,Questions!$A$3:$X$333,2,0)&amp;""</f>
        <v>Do you subject your code to static code analysis and/or static application security testing prior to release?*</v>
      </c>
      <c r="C128" s="265" t="str">
        <f>VLOOKUP($A128,Questions!$A$3:$X$333,19,0)&amp;""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128" s="265" t="str">
        <f>VLOOKUP($A128,Questions!$A$3:$X$333,20,0)&amp;""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129" spans="1:5" ht="75" customHeight="1" x14ac:dyDescent="0.2">
      <c r="A129" s="265" t="s">
        <v>172</v>
      </c>
      <c r="B129" s="265" t="str">
        <f>VLOOKUP($A129,Questions!$A$3:$X$333,2,0)&amp;""</f>
        <v>Do you have software testing processes (dynamic or static) that are established and followed?*</v>
      </c>
      <c r="C129" s="265" t="str">
        <f>VLOOKUP($A129,Questions!$A$3:$X$333,19,0)&amp;""</f>
        <v>Code analysis (prior to implementation) can decrease the number of vulnerabilities within a system. Depending on the insight a solution provider has into their code, code testing should be expected.</v>
      </c>
      <c r="D129" s="265" t="str">
        <f>VLOOKUP($A129,Questions!$A$3:$X$333,20,0)&amp;""</f>
        <v>If software testing processes are not established and followed, point the solution provider to OWASP's Testing Guide &lt;https://www.owasp.org/index.php/OWASP_Testing_Guide_v4_Table_of_Contents&gt;.</v>
      </c>
    </row>
    <row r="130" spans="1:5" ht="85" customHeight="1" x14ac:dyDescent="0.2">
      <c r="A130" s="265" t="s">
        <v>173</v>
      </c>
      <c r="B130" s="265" t="str">
        <f>VLOOKUP($A130,Questions!$A$3:$X$333,2,0)&amp;""</f>
        <v>Are access controls for staff within your organization based on structured rules, such as RBAC, ABAC, or PBAC?</v>
      </c>
      <c r="C130" s="265" t="str">
        <f>VLOOKUP($A130,Questions!$A$3:$X$333,19,0)&amp;""</f>
        <v>Managing a solution may rely on various professionals to administer a system. This question is focused on how administration, and the segregation of functions, is implemented within the solution provider's infrastructure.</v>
      </c>
      <c r="D130" s="265" t="str">
        <f>VLOOKUP($A130,Questions!$A$3:$X$333,20,0)&amp;""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131" spans="1:5" ht="99" customHeight="1" x14ac:dyDescent="0.2">
      <c r="A131" s="265" t="s">
        <v>174</v>
      </c>
      <c r="B131" s="265" t="str">
        <f>VLOOKUP($A131,Questions!$A$3:$X$333,2,0)&amp;""</f>
        <v>Does the system provide data input validation and error messages?</v>
      </c>
      <c r="C131" s="265" t="str">
        <f>VLOOKUP($A131,Questions!$A$3:$X$333,19,0)&amp;""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131" s="265" t="str">
        <f>VLOOKUP($A131,Questions!$A$3:$X$333,20,0)&amp;""</f>
        <v>Inquire about any planned improvements to these capabilities. Ask about their product roadmap, and try to understand how they prioritize security concerns in their environment.</v>
      </c>
    </row>
    <row r="132" spans="1:5" ht="120" customHeight="1" x14ac:dyDescent="0.2">
      <c r="A132" s="265" t="s">
        <v>175</v>
      </c>
      <c r="B132" s="265" t="str">
        <f>VLOOKUP($A132,Questions!$A$3:$X$333,2,0)&amp;""</f>
        <v>Do you have a process and implemented procedures for managing your software supply chain (e.g., libraries, repositories, frameworks, etc.)?</v>
      </c>
      <c r="C132" s="265" t="str">
        <f>VLOOKUP($A132,Questions!$A$3:$X$333,19,0)&amp;""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132" s="265" t="str">
        <f>VLOOKUP($A132,Questions!$A$3:$X$333,20,0)&amp;""</f>
        <v>Follow-up inquiries concerning software supply chain will be institution/implementation specific.</v>
      </c>
    </row>
    <row r="133" spans="1:5" ht="101" customHeight="1" x14ac:dyDescent="0.2">
      <c r="A133" s="265" t="s">
        <v>176</v>
      </c>
      <c r="B133" s="265" t="str">
        <f>VLOOKUP($A133,Questions!$A$3:$X$333,2,0)&amp;""</f>
        <v>Have your developers been trained in secure coding techniques?</v>
      </c>
      <c r="C133" s="265" t="str">
        <f>VLOOKUP($A133,Questions!$A$3:$X$333,19,0)&amp;""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3" s="265" t="str">
        <f>VLOOKUP($A133,Questions!$A$3:$X$333,20,0)&amp;""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4" spans="1:5" ht="102" customHeight="1" x14ac:dyDescent="0.2">
      <c r="A134" s="265" t="s">
        <v>177</v>
      </c>
      <c r="B134" s="265" t="str">
        <f>VLOOKUP($A134,Questions!$A$3:$X$333,2,0)&amp;""</f>
        <v>Was your application developed using secure coding techniques?</v>
      </c>
      <c r="C134" s="265" t="str">
        <f>VLOOKUP($A134,Questions!$A$3:$X$333,19,0)&amp;""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34" s="265" t="str">
        <f>VLOOKUP($A134,Questions!$A$3:$X$333,20,0)&amp;""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35" spans="1:5" ht="82" customHeight="1" x14ac:dyDescent="0.2">
      <c r="A135" s="265" t="s">
        <v>178</v>
      </c>
      <c r="B135" s="265" t="str">
        <f>VLOOKUP($A135,Questions!$A$3:$X$333,2,0)&amp;""</f>
        <v>If mobile, is the application available from a trusted source (e.g., App Store, Google Play Store)?</v>
      </c>
      <c r="C135" s="265" t="str">
        <f>VLOOKUP($A135,Questions!$A$3:$X$333,19,0)&amp;""</f>
        <v>Distributing application via known, moderately vetted application platform decreases the chances of malicious code distribution. Stand-alone deployments (nontrusted sources) should be looked at more closely.</v>
      </c>
      <c r="D135" s="265" t="str">
        <f>VLOOKUP($A135,Questions!$A$3:$X$333,20,0)&amp;""</f>
        <v>Ask the solution provider why this deployment strategy is used. Ask if it is a restriction of the app store platform or some other environment restriction.</v>
      </c>
    </row>
    <row r="136" spans="1:5" ht="81" customHeight="1" x14ac:dyDescent="0.2">
      <c r="A136" s="265" t="s">
        <v>179</v>
      </c>
      <c r="B136" s="265" t="str">
        <f>VLOOKUP($A136,Questions!$A$3:$X$333,2,0)&amp;""</f>
        <v>Do you have a fully implemented policy or procedure that details how your employees obtain administrator access to institutional instance of the application?</v>
      </c>
      <c r="C136" s="265" t="str">
        <f>VLOOKUP($A136,Questions!$A$3:$X$333,19,0)&amp;""</f>
        <v>Protecting administrative accounts is crucial to maintaining system integrity in any environment. This question is targeting privilege creep and unmanaged privileged accounts to determine if the solution provider properly manages access control in their application/system environments.</v>
      </c>
      <c r="D136" s="265" t="str">
        <f>VLOOKUP($A136,Questions!$A$3:$X$333,20,0)&amp;""</f>
        <v>Ask the solution provider to summarize their implemented policies and/or procedures</v>
      </c>
    </row>
    <row r="137" spans="1:5" ht="23" customHeight="1" x14ac:dyDescent="0.2">
      <c r="A137" s="32" t="str">
        <f>VLOOKUP(LEFT($A138,4),'Auto Responses'!$N$4:$O$38,2,0)&amp;""</f>
        <v xml:space="preserve"> Datacenter</v>
      </c>
      <c r="B137" s="32"/>
      <c r="C137" s="264" t="str">
        <f>Questions!$S$2</f>
        <v>Reason for Question</v>
      </c>
      <c r="D137" s="264" t="str">
        <f>Questions!$T$2</f>
        <v>Follow-Up Inquiries/Responses</v>
      </c>
    </row>
    <row r="138" spans="1:5" ht="77" customHeight="1" x14ac:dyDescent="0.15">
      <c r="A138" s="265" t="s">
        <v>180</v>
      </c>
      <c r="B138" s="265" t="str">
        <f>VLOOKUP($A138,Questions!$A$3:$X$333,2,0)&amp;""</f>
        <v>Select your hosting option.</v>
      </c>
      <c r="C138" s="265" t="str">
        <f>VLOOKUP($A138,Questions!$A$3:$X$333,19,0)&amp;""</f>
        <v>Understanding the hosting environment may reveal infrastructure risks that may not be apparent by other means and provides context to the responses provided throughout this HECVAT.</v>
      </c>
      <c r="D138" s="265" t="str">
        <f>VLOOKUP($A138,Questions!$A$3:$X$333,20,0)&amp;""</f>
        <v>Follow-up inquiries for hosting options will be institution/implementation specific.</v>
      </c>
      <c r="E138" s="62" t="s">
        <v>503</v>
      </c>
    </row>
    <row r="139" spans="1:5" ht="172" customHeight="1" x14ac:dyDescent="0.2">
      <c r="A139" s="265" t="s">
        <v>181</v>
      </c>
      <c r="B139" s="265" t="str">
        <f>VLOOKUP($A139,Questions!$A$3:$X$333,2,0)&amp;""</f>
        <v>Is a SOC 2 Type 2 report available for the hosting environment?</v>
      </c>
      <c r="C139" s="265" t="str">
        <f>VLOOKUP($A139,Questions!$A$3:$X$333,19,0)&amp;""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39" s="265" t="str">
        <f>VLOOKUP($A139,Questions!$A$3:$X$333,20,0)&amp;""</f>
        <v>Follow-up inquiries for additional solution provider's SOC 2 Type 2 reports will be institution/implementation specific.</v>
      </c>
    </row>
    <row r="140" spans="1:5" ht="120" customHeight="1" x14ac:dyDescent="0.2">
      <c r="A140" s="265" t="s">
        <v>182</v>
      </c>
      <c r="B140" s="265" t="str">
        <f>VLOOKUP($A140,Questions!$A$3:$X$333,2,0)&amp;""</f>
        <v>Are you generally able to accommodate storing each institution's data within its geographic region?</v>
      </c>
      <c r="C140" s="265" t="str">
        <f>VLOOKUP($A140,Questions!$A$3:$X$333,19,0)&amp;""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40" s="265" t="str">
        <f>VLOOKUP($A140,Questions!$A$3:$X$333,20,0)&amp;""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row>
    <row r="141" spans="1:5" ht="100" customHeight="1" x14ac:dyDescent="0.2">
      <c r="A141" s="265" t="s">
        <v>183</v>
      </c>
      <c r="B141" s="265" t="str">
        <f>VLOOKUP($A141,Questions!$A$3:$X$333,2,0)&amp;""</f>
        <v>Are the data centers staffed 24 hours a day, seven days a week (i.e., 24 x 7 x 365)?</v>
      </c>
      <c r="C141" s="265" t="str">
        <f>VLOOKUP($A141,Questions!$A$3:$X$333,19,0)&amp;""</f>
        <v>Solution Providers that operate their own datacenter(s) can implement their own monitoring strategy. Use the solution provider's response to this questions to verify/validate other responses related to ownership/co-location/physical security.</v>
      </c>
      <c r="D141" s="265" t="str">
        <f>VLOOKUP($A141,Questions!$A$3:$X$333,20,0)&amp;""</f>
        <v>Follow-up inquiries for data center staffing will be institution/implementation specific.</v>
      </c>
    </row>
    <row r="142" spans="1:5" ht="100" customHeight="1" x14ac:dyDescent="0.2">
      <c r="A142" s="265" t="s">
        <v>184</v>
      </c>
      <c r="B142" s="265" t="str">
        <f>VLOOKUP($A142,Questions!$A$3:$X$333,2,0)&amp;""</f>
        <v>Are your servers separated from other companies via a physical barrier, such as a cage or hard walls?</v>
      </c>
      <c r="C142" s="265" t="str">
        <f>VLOOKUP($A142,Questions!$A$3:$X$333,19,0)&amp;""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2" s="265" t="str">
        <f>VLOOKUP($A142,Questions!$A$3:$X$333,20,0)&amp;""</f>
        <v>Follow-up inquiries for system physical security will be institution/implementation specific.</v>
      </c>
      <c r="E142" s="226"/>
    </row>
    <row r="143" spans="1:5" ht="86" customHeight="1" x14ac:dyDescent="0.2">
      <c r="A143" s="265" t="s">
        <v>185</v>
      </c>
      <c r="B143" s="265" t="str">
        <f>VLOOKUP($A143,Questions!$A$3:$X$333,2,0)&amp;""</f>
        <v>Does a physical barrier fully enclose the physical space, preventing unauthorized physical contact with any of your devices?*</v>
      </c>
      <c r="C143" s="265" t="str">
        <f>VLOOKUP($A143,Questions!$A$3:$X$333,19,0)&amp;""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43" s="265" t="str">
        <f>VLOOKUP($A143,Questions!$A$3:$X$333,20,0)&amp;""</f>
        <v>Follow-up inquiries for system physical security will be institution/implementation specific.</v>
      </c>
      <c r="E143" s="226"/>
    </row>
    <row r="144" spans="1:5" ht="96" customHeight="1" x14ac:dyDescent="0.2">
      <c r="A144" s="265" t="s">
        <v>186</v>
      </c>
      <c r="B144" s="265" t="str">
        <f>VLOOKUP($A144,Questions!$A$3:$X$333,2,0)&amp;""</f>
        <v>Are your primary and secondary data centers geographically diverse?</v>
      </c>
      <c r="C144" s="265" t="str">
        <f>VLOOKUP($A144,Questions!$A$3:$X$333,19,0)&amp;""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44" s="265" t="str">
        <f>VLOOKUP($A144,Questions!$A$3:$X$333,20,0)&amp;""</f>
        <v>Follow-up inquiries for geographic diversity in datacenters will be institution/implementation specific.</v>
      </c>
    </row>
    <row r="145" spans="1:5" ht="73" customHeight="1" x14ac:dyDescent="0.2">
      <c r="A145" s="265" t="s">
        <v>187</v>
      </c>
      <c r="B145" s="265" t="str">
        <f>VLOOKUP($A145,Questions!$A$3:$X$333,2,0)&amp;""</f>
        <v>Is the service hosted in a high-availability environment?</v>
      </c>
      <c r="C145" s="265" t="str">
        <f>VLOOKUP($A145,Questions!$A$3:$X$333,19,0)&amp;""</f>
        <v>In the context of the CIA triad, this question is focused on the availability of a system (or set of systems).</v>
      </c>
      <c r="D145" s="265" t="str">
        <f>VLOOKUP($A145,Questions!$A$3:$X$333,20,0)&amp;""</f>
        <v>The weight placed on the solution provider's response will be specific to the institution's use case and solution requirements.</v>
      </c>
    </row>
    <row r="146" spans="1:5" ht="64" customHeight="1" x14ac:dyDescent="0.2">
      <c r="A146" s="265" t="s">
        <v>188</v>
      </c>
      <c r="B146" s="265" t="str">
        <f>VLOOKUP($A146,Questions!$A$3:$X$333,2,0)&amp;""</f>
        <v>Is redundant power available for all data centers where institutional data will reside?</v>
      </c>
      <c r="C146" s="265" t="str">
        <f>VLOOKUP($A146,Questions!$A$3:$X$333,19,0)&amp;""</f>
        <v>In the context of the CIA triad, this question is focused on the availability of a system (or set of systems).</v>
      </c>
      <c r="D146" s="265" t="str">
        <f>VLOOKUP($A146,Questions!$A$3:$X$333,20,0)&amp;""</f>
        <v>The weight placed on the solution provider's response will be specific to the institution's use case and solution requirements.</v>
      </c>
    </row>
    <row r="147" spans="1:5" ht="79" customHeight="1" x14ac:dyDescent="0.2">
      <c r="A147" s="265" t="s">
        <v>189</v>
      </c>
      <c r="B147" s="265" t="str">
        <f>VLOOKUP($A147,Questions!$A$3:$X$333,2,0)&amp;""</f>
        <v>Are redundant power strategies tested?*</v>
      </c>
      <c r="C147" s="265" t="str">
        <f>VLOOKUP($A147,Questions!$A$3:$X$333,19,0)&amp;""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47" s="265" t="str">
        <f>VLOOKUP($A147,Questions!$A$3:$X$333,20,0)&amp;""</f>
        <v>Follow-up inquiries for redundant power testing details will be institution/implementation specific.</v>
      </c>
    </row>
    <row r="148" spans="1:5" ht="64" customHeight="1" x14ac:dyDescent="0.2">
      <c r="A148" s="265" t="s">
        <v>190</v>
      </c>
      <c r="B148" s="265" t="str">
        <f>VLOOKUP($A148,Questions!$A$3:$X$333,2,0)&amp;""</f>
        <v>Does the center where the data will reside have cooling and fire-suppression systems that are active and regularly tested?</v>
      </c>
      <c r="C148" s="265" t="str">
        <f>VLOOKUP($A148,Questions!$A$3:$X$333,19,0)&amp;""</f>
        <v>Installing appropriate environmental controls is crucial to maintaining the integrity of the hosting site. Vague responses to this question should be met with concern and appropriate follow up, based on your institutions risk tolerance.</v>
      </c>
      <c r="D148" s="265" t="str">
        <f>VLOOKUP($A148,Questions!$A$3:$X$333,20,0)&amp;""</f>
        <v>Follow-up inquiries for cooling and fire suppression systems will be institution/implementation specific.</v>
      </c>
    </row>
    <row r="149" spans="1:5" ht="60" customHeight="1" x14ac:dyDescent="0.2">
      <c r="A149" s="265" t="s">
        <v>191</v>
      </c>
      <c r="B149" s="265" t="str">
        <f>VLOOKUP($A149,Questions!$A$3:$X$333,2,0)&amp;""</f>
        <v>Do you have Internet Service Provider (ISP) redundancy?</v>
      </c>
      <c r="C149" s="265" t="str">
        <f>VLOOKUP($A149,Questions!$A$3:$X$333,19,0)&amp;""</f>
        <v>In the context of the CIA triad, this question is focused on the availability of a system (or set of systems).</v>
      </c>
      <c r="D149" s="265" t="str">
        <f>VLOOKUP($A149,Questions!$A$3:$X$333,20,0)&amp;""</f>
        <v>The weight placed on the solution provider's response will be specific to the institution's use case and solution requirements.</v>
      </c>
    </row>
    <row r="150" spans="1:5" ht="71" customHeight="1" x14ac:dyDescent="0.2">
      <c r="A150" s="265" t="s">
        <v>192</v>
      </c>
      <c r="B150" s="265" t="str">
        <f>VLOOKUP($A150,Questions!$A$3:$X$333,2,0)&amp;""</f>
        <v>Does every data center where the institution's data will reside have multiple telephone company or network provider entrances to the facility?</v>
      </c>
      <c r="C150" s="265" t="str">
        <f>VLOOKUP($A150,Questions!$A$3:$X$333,19,0)&amp;""</f>
        <v>In the context of the CIA triad, this question is focused on the availability of a system (or set of systems).</v>
      </c>
      <c r="D150" s="265" t="str">
        <f>VLOOKUP($A150,Questions!$A$3:$X$333,20,0)&amp;""</f>
        <v>The weight placed on the solution provider's response will be specific to the institution's use case and solution requirements.</v>
      </c>
    </row>
    <row r="151" spans="1:5" ht="70" customHeight="1" x14ac:dyDescent="0.2">
      <c r="A151" s="265" t="s">
        <v>193</v>
      </c>
      <c r="B151" s="265" t="str">
        <f>VLOOKUP($A151,Questions!$A$3:$X$333,2,0)&amp;""</f>
        <v>Do you require multifactor authentication for all administrative accounts in your environment?</v>
      </c>
      <c r="C151" s="265" t="str">
        <f>VLOOKUP($A151,Questions!$A$3:$X$333,19,0)&amp;""</f>
        <v>2FA/MFA, implemented correctly, strengthens the security state of a system. 2FA/MFA is commonly implemented and in many use cases is a requirement for account protection purposes.</v>
      </c>
      <c r="D151" s="265" t="str">
        <f>VLOOKUP($A151,Questions!$A$3:$X$333,20,0)&amp;""</f>
        <v>Ask the solution provider about hardware and software options, future roadmap for implementations and support, etc.</v>
      </c>
    </row>
    <row r="152" spans="1:5" ht="52" customHeight="1" x14ac:dyDescent="0.2">
      <c r="A152" s="265" t="s">
        <v>194</v>
      </c>
      <c r="B152" s="265" t="str">
        <f>VLOOKUP($A152,Questions!$A$3:$X$333,2,0)&amp;""</f>
        <v>Are you using your cloud provider's available hardening tools or pre-hardened images?</v>
      </c>
      <c r="C152" s="265" t="str">
        <f>VLOOKUP($A152,Questions!$A$3:$X$333,19,0)&amp;""</f>
        <v>In the context of the CIA triad, this question is focused on the integrity of a system (or set of systems).</v>
      </c>
      <c r="D152" s="265" t="str">
        <f>VLOOKUP($A152,Questions!$A$3:$X$333,20,0)&amp;""</f>
        <v>Ask the solution provider about their system lifecycle practices and security methodology.</v>
      </c>
    </row>
    <row r="153" spans="1:5" ht="101" customHeight="1" x14ac:dyDescent="0.2">
      <c r="A153" s="265" t="s">
        <v>195</v>
      </c>
      <c r="B153" s="265" t="str">
        <f>VLOOKUP($A153,Questions!$A$3:$X$333,2,0)&amp;""</f>
        <v>Does your cloud solution provider have access to your encryption keys?</v>
      </c>
      <c r="C153" s="265" t="str">
        <f>VLOOKUP($A153,Questions!$A$3:$X$333,19,0)&amp;""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53" s="265" t="str">
        <f>VLOOKUP($A153,Questions!$A$3:$X$333,20,0)&amp;""</f>
        <v>Follow up with the solution provider to ensure that all components of the system are considered. This includes system-to-system, system-to-client, applications, system accounts, etc.</v>
      </c>
    </row>
    <row r="154" spans="1:5" ht="23" customHeight="1" x14ac:dyDescent="0.2">
      <c r="A154" s="32" t="str">
        <f>VLOOKUP(LEFT($A155,4),'Auto Responses'!$N$4:$O$38,2,0)&amp;""</f>
        <v xml:space="preserve"> Firewalls, IDS, IPS, and Networking</v>
      </c>
      <c r="B154" s="32"/>
      <c r="C154" s="264" t="str">
        <f>Questions!$S$2</f>
        <v>Reason for Question</v>
      </c>
      <c r="D154" s="264" t="str">
        <f>Questions!$T$2</f>
        <v>Follow-Up Inquiries/Responses</v>
      </c>
    </row>
    <row r="155" spans="1:5" ht="90" customHeight="1" x14ac:dyDescent="0.2">
      <c r="A155" s="265" t="s">
        <v>196</v>
      </c>
      <c r="B155" s="265" t="str">
        <f>VLOOKUP($A155,Questions!$A$3:$X$333,2,0)&amp;""</f>
        <v>Are you utilizing a stateful packet inspection (SPI) firewall?*</v>
      </c>
      <c r="C155" s="265" t="str">
        <f>VLOOKUP($A155,Questions!$A$3:$X$333,19,0)&amp;""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55" s="265" t="str">
        <f>VLOOKUP($A155,Questions!$A$3:$X$333,20,0)&amp;""</f>
        <v>Follow-up inquiries for firewall capabilities will be institution/implementation specific.</v>
      </c>
    </row>
    <row r="156" spans="1:5" ht="80" customHeight="1" x14ac:dyDescent="0.2">
      <c r="A156" s="265" t="s">
        <v>197</v>
      </c>
      <c r="B156" s="265" t="str">
        <f>VLOOKUP($A156,Questions!$A$3:$X$333,2,0)&amp;""</f>
        <v>Do you have a documented policy for firewall change requests?*</v>
      </c>
      <c r="C156" s="265" t="str">
        <f>VLOOKUP($A156,Questions!$A$3:$X$333,19,0)&amp;""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56" s="265" t="str">
        <f>VLOOKUP($A156,Questions!$A$3:$X$333,20,0)&amp;""</f>
        <v>Follow-up inquiries for firewall change requests will be institution/implementation specific.</v>
      </c>
    </row>
    <row r="157" spans="1:5" ht="79" customHeight="1" x14ac:dyDescent="0.2">
      <c r="A157" s="265" t="s">
        <v>198</v>
      </c>
      <c r="B157" s="265" t="str">
        <f>VLOOKUP($A157,Questions!$A$3:$X$333,2,0)&amp;""</f>
        <v>Have you implemented an intrusion detection system (network-based)?*</v>
      </c>
      <c r="C157" s="265" t="str">
        <f>VLOOKUP($A157,Questions!$A$3:$X$333,19,0)&amp;""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7" s="265" t="str">
        <f>VLOOKUP($A157,Questions!$A$3:$X$333,20,0)&amp;""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row>
    <row r="158" spans="1:5" ht="85" customHeight="1" x14ac:dyDescent="0.2">
      <c r="A158" s="265" t="s">
        <v>199</v>
      </c>
      <c r="B158" s="265" t="str">
        <f>VLOOKUP($A158,Questions!$A$3:$X$333,2,0)&amp;""</f>
        <v>Do you employ host-based intrusion detection?*</v>
      </c>
      <c r="C158" s="265" t="str">
        <f>VLOOKUP($A158,Questions!$A$3:$X$333,19,0)&amp;""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58" s="265" t="str">
        <f>VLOOKUP($A158,Questions!$A$3:$X$333,20,0)&amp;""</f>
        <v>Ask the solution provider to summarize why host-based intrusion detection tools are not implemented in their environment. What compensating controls are in place to detect configuration changes and/or failures of integrity?</v>
      </c>
      <c r="E158" s="226"/>
    </row>
    <row r="159" spans="1:5" ht="95" customHeight="1" x14ac:dyDescent="0.2">
      <c r="A159" s="265" t="s">
        <v>200</v>
      </c>
      <c r="B159" s="265" t="str">
        <f>VLOOKUP($A159,Questions!$A$3:$X$333,2,0)&amp;""</f>
        <v>Are audit logs available for all changes to the network, firewall, IDS, and IPS systems?*</v>
      </c>
      <c r="C159" s="265" t="str">
        <f>VLOOKUP($A159,Questions!$A$3:$X$333,19,0)&amp;""</f>
        <v>Strong logging capabilities are vital to the proper management of a network. Implementing an immature system that lacks sufficient logging capabilities exposes an institution to great risk.</v>
      </c>
      <c r="D159" s="265" t="str">
        <f>VLOOKUP($A159,Questions!$A$3:$X$333,20,0)&amp;""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c r="E159" s="226"/>
    </row>
    <row r="160" spans="1:5" ht="96" customHeight="1" x14ac:dyDescent="0.2">
      <c r="A160" s="265" t="s">
        <v>201</v>
      </c>
      <c r="B160" s="265" t="str">
        <f>VLOOKUP($A160,Questions!$A$3:$X$333,2,0)&amp;""</f>
        <v>Is authority for firewall change approval documented? Please list approver names or titles in Additional Info.</v>
      </c>
      <c r="C160" s="265" t="str">
        <f>VLOOKUP($A160,Questions!$A$3:$X$333,19,0)&amp;""</f>
        <v>Modifications to firewall rule sets can have significant repercussions. To ensure the integrity of the rule set, this question targets the individual (or responsible party) for changes and the reasoning behind their authority.</v>
      </c>
      <c r="D160" s="265" t="str">
        <f>VLOOKUP($A160,Questions!$A$3:$X$333,20,0)&amp;""</f>
        <v>Ensure that a separation of duties exists in network security configurations. Pay close attention to responsibility overlap in small organizations, where staff often fill multiple roles.</v>
      </c>
    </row>
    <row r="161" spans="1:5" ht="90" customHeight="1" x14ac:dyDescent="0.2">
      <c r="A161" s="265" t="s">
        <v>202</v>
      </c>
      <c r="B161" s="265" t="str">
        <f>VLOOKUP($A161,Questions!$A$3:$X$333,2,0)&amp;""</f>
        <v>Have you implemented an intrusion prevention system (network-based)?</v>
      </c>
      <c r="C161" s="265" t="str">
        <f>VLOOKUP($A161,Questions!$A$3:$X$333,19,0)&amp;""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1" s="265" t="str">
        <f>VLOOKUP($A161,Questions!$A$3:$X$333,20,0)&amp;""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62" spans="1:5" ht="81" customHeight="1" x14ac:dyDescent="0.2">
      <c r="A162" s="265" t="s">
        <v>203</v>
      </c>
      <c r="B162" s="265" t="str">
        <f>VLOOKUP($A162,Questions!$A$3:$X$333,2,0)&amp;""</f>
        <v>Do you employ host-based intrusion prevention?</v>
      </c>
      <c r="C162" s="265" t="str">
        <f>VLOOKUP($A162,Questions!$A$3:$X$333,19,0)&amp;""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62" s="265" t="str">
        <f>VLOOKUP($A162,Questions!$A$3:$X$333,20,0)&amp;""</f>
        <v>Ask the solution provider to summarize why host-based intrusion prevention tools are not implemented in their environment. What compensating controls are in place to detect malicious activity and to actively prevent its function?</v>
      </c>
    </row>
    <row r="163" spans="1:5" ht="97" customHeight="1" x14ac:dyDescent="0.2">
      <c r="A163" s="265" t="s">
        <v>204</v>
      </c>
      <c r="B163" s="265" t="str">
        <f>VLOOKUP($A163,Questions!$A$3:$X$333,2,0)&amp;""</f>
        <v>Are you employing any next-generation persistent threat (NGPT) monitoring?</v>
      </c>
      <c r="C163" s="265" t="str">
        <f>VLOOKUP($A163,Questions!$A$3:$X$333,19,0)&amp;""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63" s="265" t="str">
        <f>VLOOKUP($A163,Questions!$A$3:$X$333,20,0)&amp;""</f>
        <v>Follow-up inquiries for next-generation persistent threat monitoring will be institution/implementation specific.</v>
      </c>
    </row>
    <row r="164" spans="1:5" ht="97" customHeight="1" x14ac:dyDescent="0.2">
      <c r="A164" s="265" t="s">
        <v>205</v>
      </c>
      <c r="B164" s="265" t="str">
        <f>VLOOKUP($A164,Questions!$A$3:$X$333,2,0)&amp;""</f>
        <v>Is intrusion monitoring performed internally or by a third-party service?</v>
      </c>
      <c r="C164" s="265" t="str">
        <f>VLOOKUP($A164,Questions!$A$3:$X$333,19,0)&amp;""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64" s="265" t="str">
        <f>VLOOKUP($A164,Questions!$A$3:$X$333,20,0)&amp;""</f>
        <v>Follow-up inquiries for intrusion monitoring will be institution/implementation specific.</v>
      </c>
    </row>
    <row r="165" spans="1:5" ht="89" customHeight="1" x14ac:dyDescent="0.2">
      <c r="A165" s="265" t="s">
        <v>206</v>
      </c>
      <c r="B165" s="265" t="str">
        <f>VLOOKUP($A165,Questions!$A$3:$X$333,2,0)&amp;""</f>
        <v>Do you monitor for intrusions on a 24 x 7 x 365 basis?</v>
      </c>
      <c r="C165" s="265" t="str">
        <f>VLOOKUP($A165,Questions!$A$3:$X$333,19,0)&amp;""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65" s="265" t="str">
        <f>VLOOKUP($A165,Questions!$A$3:$X$333,20,0)&amp;""</f>
        <v>Follow-up inquiries for 24 x 7 x 365 monitoring will be institution/implementation specific.</v>
      </c>
    </row>
    <row r="166" spans="1:5" ht="23" customHeight="1" x14ac:dyDescent="0.2">
      <c r="A166" s="32" t="str">
        <f>VLOOKUP(LEFT($A167,4),'Auto Responses'!$N$4:$O$38,2,0)&amp;""</f>
        <v xml:space="preserve"> Incident Handling</v>
      </c>
      <c r="B166" s="32"/>
      <c r="C166" s="264" t="str">
        <f>Questions!$S$2</f>
        <v>Reason for Question</v>
      </c>
      <c r="D166" s="264" t="str">
        <f>Questions!$T$2</f>
        <v>Follow-Up Inquiries/Responses</v>
      </c>
    </row>
    <row r="167" spans="1:5" ht="134" customHeight="1" x14ac:dyDescent="0.15">
      <c r="A167" s="265" t="s">
        <v>207</v>
      </c>
      <c r="B167" s="265" t="str">
        <f>VLOOKUP($A167,Questions!$A$3:$X$333,2,0)&amp;""</f>
        <v>Do you have a formal incident response plan?</v>
      </c>
      <c r="C167" s="265" t="str">
        <f>VLOOKUP($A167,Questions!$A$3:$X$333,19,0)&amp;""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67" s="265" t="str">
        <f>VLOOKUP($A167,Questions!$A$3:$X$333,20,0)&amp;""</f>
        <v>If the solution provider does not have an incident response plan, direct them to the NIST Computer Security Incident Handling Guide &lt;https://csrc.nist.gov/publications/detail/sp/800-61/rev-2/final&gt;.</v>
      </c>
      <c r="E167" s="62" t="s">
        <v>503</v>
      </c>
    </row>
    <row r="168" spans="1:5" ht="81" customHeight="1" x14ac:dyDescent="0.2">
      <c r="A168" s="265" t="s">
        <v>208</v>
      </c>
      <c r="B168" s="265" t="str">
        <f>VLOOKUP($A168,Questions!$A$3:$X$333,2,0)&amp;""</f>
        <v>Do you either have an internal incident response team or retain an external team?</v>
      </c>
      <c r="C168" s="265" t="str">
        <f>VLOOKUP($A168,Questions!$A$3:$X$333,19,0)&amp;""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68" s="265" t="str">
        <f>VLOOKUP($A168,Questions!$A$3:$X$333,20,0)&amp;""</f>
        <v>If the solution provider does not have an incident response plan, direct them to the NIST Computer Security Incident Handling Guide &lt;https://csrc.nist.gov/publications/detail/sp/800-61/rev-2/final&gt;.</v>
      </c>
    </row>
    <row r="169" spans="1:5" ht="92" customHeight="1" x14ac:dyDescent="0.2">
      <c r="A169" s="265" t="s">
        <v>209</v>
      </c>
      <c r="B169" s="265" t="str">
        <f>VLOOKUP($A169,Questions!$A$3:$X$333,2,0)&amp;""</f>
        <v>Do you have the capability to respond to incidents on a 24 x 7 x 365 basis?</v>
      </c>
      <c r="C169" s="265" t="str">
        <f>VLOOKUP($A169,Questions!$A$3:$X$333,19,0)&amp;""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69" s="265" t="str">
        <f>VLOOKUP($A169,Questions!$A$3:$X$333,20,0)&amp;""</f>
        <v>If the solution provider does not have an incident response team, direct them to the NIST Computer Security Incident Handling Guide &lt;https://csrc.nist.gov/publications/detail/sp/800-61/rev-2/final&gt;.</v>
      </c>
    </row>
    <row r="170" spans="1:5" ht="104" customHeight="1" x14ac:dyDescent="0.2">
      <c r="A170" s="265" t="s">
        <v>210</v>
      </c>
      <c r="B170" s="265" t="str">
        <f>VLOOKUP($A170,Questions!$A$3:$X$333,2,0)&amp;""</f>
        <v>Do you carry cyber-risk insurance to protect against unforeseen service outages, data that is lost or stolen, and security incidents?</v>
      </c>
      <c r="C170" s="265" t="str">
        <f>VLOOKUP($A170,Questions!$A$3:$X$333,19,0)&amp;""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70" s="265" t="str">
        <f>VLOOKUP($A170,Questions!$A$3:$X$333,20,0)&amp;""</f>
        <v>If the solution provider does not have an incident response plan, point them to the NIST Computer Security Incident Handling Guide &lt;https://csrc.nist.gov/publications/detail/sp/800-61/rev-2/final&gt;.</v>
      </c>
      <c r="E170" s="226"/>
    </row>
    <row r="171" spans="1:5" ht="23" customHeight="1" x14ac:dyDescent="0.2">
      <c r="A171" s="32" t="str">
        <f>VLOOKUP(LEFT($A172,4),'Auto Responses'!$N$4:$O$38,2,0)&amp;""</f>
        <v xml:space="preserve"> Vulnerability Management</v>
      </c>
      <c r="B171" s="32"/>
      <c r="C171" s="264" t="str">
        <f>Questions!$S$2</f>
        <v>Reason for Question</v>
      </c>
      <c r="D171" s="264" t="str">
        <f>Questions!$T$2</f>
        <v>Follow-Up Inquiries/Responses</v>
      </c>
      <c r="E171" s="226"/>
    </row>
    <row r="172" spans="1:5" ht="87" customHeight="1" x14ac:dyDescent="0.2">
      <c r="A172" s="265" t="s">
        <v>211</v>
      </c>
      <c r="B172" s="265" t="str">
        <f>VLOOKUP($A172,Questions!$A$3:$X$333,2,0)&amp;""</f>
        <v>Are your systems and applications scanned with an authenticated user account for vulnerabilities (that are remediated) prior to new releases?*</v>
      </c>
      <c r="C172" s="265" t="str">
        <f>VLOOKUP($A172,Questions!$A$3:$X$333,19,0)&amp;""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172" s="265" t="str">
        <f>VLOOKUP($A172,Questions!$A$3:$X$333,20,0)&amp;""</f>
        <v>Ask if there are plans to implement these processes. Ask the solution provider to summarize their decision behind not scanning their applications for vulnerabilities prior to release.</v>
      </c>
    </row>
    <row r="173" spans="1:5" ht="78" customHeight="1" x14ac:dyDescent="0.2">
      <c r="A173" s="265" t="s">
        <v>212</v>
      </c>
      <c r="B173" s="265" t="str">
        <f>VLOOKUP($A173,Questions!$A$3:$X$333,2,0)&amp;""</f>
        <v>Will you provide results of application and system vulnerability scans to the institution?*</v>
      </c>
      <c r="C173" s="265" t="str">
        <f>VLOOKUP($A173,Questions!$A$3:$X$333,19,0)&amp;""</f>
        <v>If a solution provider is scanning its applications and/or systems, oftentimes an institution will want to review the report, if possible. Preferably, any finding on the reports will have a matching mitigation action.</v>
      </c>
      <c r="D173" s="265" t="str">
        <f>VLOOKUP($A173,Questions!$A$3:$X$333,20,0)&amp;""</f>
        <v>If a solution provider is hesitant to share the report, ask for a summarized version; some insight is better than none.</v>
      </c>
    </row>
    <row r="174" spans="1:5" ht="87" customHeight="1" x14ac:dyDescent="0.2">
      <c r="A174" s="265" t="s">
        <v>213</v>
      </c>
      <c r="B174" s="265" t="str">
        <f>VLOOKUP($A174,Questions!$A$3:$X$333,2,0)&amp;""</f>
        <v>Will you allow the institution to perform its own vulnerability testing and/or scanning of your systems and/or application, provided that testing is performed at a mutually agreed upon time and date?*</v>
      </c>
      <c r="C174" s="265" t="str">
        <f>VLOOKUP($A174,Questions!$A$3:$X$333,19,0)&amp;""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174" s="265" t="str">
        <f>VLOOKUP($A174,Questions!$A$3:$X$333,20,0)&amp;""</f>
        <v>Follow-up inquiries for vulnerability scanning and penetration testing will be institution/implementation specific.</v>
      </c>
    </row>
    <row r="175" spans="1:5" ht="114" customHeight="1" x14ac:dyDescent="0.2">
      <c r="A175" s="265" t="s">
        <v>214</v>
      </c>
      <c r="B175" s="265" t="str">
        <f>VLOOKUP($A175,Questions!$A$3:$X$333,2,0)&amp;""</f>
        <v>Have your systems and applications had a third-party security assessment completed in the last year?</v>
      </c>
      <c r="C175" s="265" t="str">
        <f>VLOOKUP($A175,Questions!$A$3:$X$333,19,0)&amp;""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5" s="265" t="str">
        <f>VLOOKUP($A175,Questions!$A$3:$X$333,20,0)&amp;""</f>
        <v>Ask if there has ever been a vulnerability scan. A short lapse in external assessment validity can be understood (if there is a planned assessment), but a significant time lapse or no scan whatsoever is cause for elevated levels of concern.</v>
      </c>
    </row>
    <row r="176" spans="1:5" ht="90" customHeight="1" x14ac:dyDescent="0.2">
      <c r="A176" s="265" t="s">
        <v>215</v>
      </c>
      <c r="B176" s="265" t="str">
        <f>VLOOKUP($A176,Questions!$A$3:$X$333,2,0)&amp;""</f>
        <v>Do you regularly scan for common web application security vulnerabilities (e.g., SQL injection, XSS, XSRF, etc.)?</v>
      </c>
      <c r="C176" s="265" t="str">
        <f>VLOOKUP($A176,Questions!$A$3:$X$333,19,0)&amp;""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176" s="265" t="str">
        <f>VLOOKUP($A176,Questions!$A$3:$X$333,20,0)&amp;""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177" spans="1:5" ht="122" customHeight="1" x14ac:dyDescent="0.2">
      <c r="A177" s="265" t="s">
        <v>216</v>
      </c>
      <c r="B177" s="265" t="str">
        <f>VLOOKUP($A177,Questions!$A$3:$X$333,2,0)&amp;""</f>
        <v>Are your systems and applications regularly scanned externally for vulnerabilities?</v>
      </c>
      <c r="C177" s="265" t="str">
        <f>VLOOKUP($A177,Questions!$A$3:$X$333,19,0)&amp;""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177" s="265" t="str">
        <f>VLOOKUP($A177,Questions!$A$3:$X$333,20,0)&amp;""</f>
        <v>If "no," inquire if there has ever been a vulnerability scan. A short lapse in external assessment validity can be understood (if there is a planned assessment), but a significant time lapse or no scan whatsoever is cause for elevated levels of concern.</v>
      </c>
    </row>
    <row r="178" spans="1:5" ht="23" customHeight="1" x14ac:dyDescent="0.2">
      <c r="A178" s="32" t="str">
        <f>VLOOKUP(LEFT($A179,4),'Auto Responses'!$N$4:$O$38,2,0)&amp;""</f>
        <v xml:space="preserve"> IT Accessibility</v>
      </c>
      <c r="B178" s="32"/>
      <c r="C178" s="264" t="str">
        <f>Questions!$S$2</f>
        <v>Reason for Question</v>
      </c>
      <c r="D178" s="264" t="str">
        <f>Questions!$T$2</f>
        <v>Follow-Up Inquiries/Responses</v>
      </c>
    </row>
    <row r="179" spans="1:5" x14ac:dyDescent="0.2">
      <c r="A179" s="265" t="s">
        <v>218</v>
      </c>
      <c r="B179" s="265" t="str">
        <f>VLOOKUP($A179,Questions!$A$3:$X$333,2,0)&amp;""</f>
        <v>Solution Provider Accessibility Contact Name</v>
      </c>
      <c r="C179" s="265" t="str">
        <f>VLOOKUP($A179,Questions!$A$3:$X$333,19,0)&amp;""</f>
        <v/>
      </c>
      <c r="D179" s="265" t="str">
        <f>VLOOKUP($A179,Questions!$A$3:$X$333,20,0)&amp;""</f>
        <v/>
      </c>
    </row>
    <row r="180" spans="1:5" x14ac:dyDescent="0.2">
      <c r="A180" s="265" t="s">
        <v>219</v>
      </c>
      <c r="B180" s="265" t="str">
        <f>VLOOKUP($A180,Questions!$A$3:$X$333,2,0)&amp;""</f>
        <v>Solution Provider Accessibility Contact Title</v>
      </c>
      <c r="C180" s="265" t="str">
        <f>VLOOKUP($A180,Questions!$A$3:$X$333,19,0)&amp;""</f>
        <v/>
      </c>
      <c r="D180" s="265" t="str">
        <f>VLOOKUP($A180,Questions!$A$3:$X$333,20,0)&amp;""</f>
        <v/>
      </c>
    </row>
    <row r="181" spans="1:5" x14ac:dyDescent="0.2">
      <c r="A181" s="265" t="s">
        <v>220</v>
      </c>
      <c r="B181" s="265" t="str">
        <f>VLOOKUP($A181,Questions!$A$3:$X$333,2,0)&amp;""</f>
        <v>Solution Provider Accessibility Contact Email</v>
      </c>
      <c r="C181" s="265" t="str">
        <f>VLOOKUP($A181,Questions!$A$3:$X$333,19,0)&amp;""</f>
        <v/>
      </c>
      <c r="D181" s="265" t="str">
        <f>VLOOKUP($A181,Questions!$A$3:$X$333,20,0)&amp;""</f>
        <v/>
      </c>
    </row>
    <row r="182" spans="1:5" x14ac:dyDescent="0.2">
      <c r="A182" s="265" t="s">
        <v>221</v>
      </c>
      <c r="B182" s="265" t="str">
        <f>VLOOKUP($A182,Questions!$A$3:$X$333,2,0)&amp;""</f>
        <v>Solution Provider Accessibility Contact Phone Number</v>
      </c>
      <c r="C182" s="265" t="str">
        <f>VLOOKUP($A182,Questions!$A$3:$X$333,19,0)&amp;""</f>
        <v/>
      </c>
      <c r="D182" s="265" t="str">
        <f>VLOOKUP($A182,Questions!$A$3:$X$333,20,0)&amp;""</f>
        <v/>
      </c>
      <c r="E182" s="226"/>
    </row>
    <row r="183" spans="1:5" x14ac:dyDescent="0.15">
      <c r="A183" s="265" t="s">
        <v>223</v>
      </c>
      <c r="B183" s="265" t="str">
        <f>VLOOKUP($A183,Questions!$A$3:$X$333,2,0)&amp;""</f>
        <v>Web Link to Accessibility Statement or VPAT</v>
      </c>
      <c r="C183" s="265" t="str">
        <f>VLOOKUP($A183,Questions!$A$3:$X$333,19,0)&amp;""</f>
        <v/>
      </c>
      <c r="D183" s="265" t="str">
        <f>VLOOKUP($A183,Questions!$A$3:$X$333,20,0)&amp;""</f>
        <v/>
      </c>
      <c r="E183" s="62" t="s">
        <v>503</v>
      </c>
    </row>
    <row r="184" spans="1:5" ht="108" customHeight="1" x14ac:dyDescent="0.2">
      <c r="A184" s="265" t="s">
        <v>225</v>
      </c>
      <c r="B184" s="265" t="str">
        <f>VLOOKUP($A184,Questions!$A$3:$X$333,2,0)&amp;""</f>
        <v>Has a VPAT or ACR been created or updated for the solution and version under consideration within the past 12 months?*</v>
      </c>
      <c r="C184" s="265" t="str">
        <f>VLOOKUP($A184,Questions!$A$3:$X$333,19,0)&amp;""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184" s="265" t="str">
        <f>VLOOKUP($A184,Questions!$A$3:$X$333,20,0)&amp;""</f>
        <v>Cross-reference Accessibility Conformance Reports (ACR) with any answers from ITAC-14 about product roadmaps for accessibility improvements.</v>
      </c>
    </row>
    <row r="185" spans="1:5" ht="99" customHeight="1" x14ac:dyDescent="0.2">
      <c r="A185" s="265" t="s">
        <v>226</v>
      </c>
      <c r="B185" s="265" t="str">
        <f>VLOOKUP($A185,Questions!$A$3:$X$333,2,0)&amp;""</f>
        <v>Will your company agree to meet your stated accessibility standard or WCAG 2.1 AA as part of your contractual agreement for the solution?*</v>
      </c>
      <c r="C185" s="265" t="str">
        <f>VLOOKUP($A185,Questions!$A$3:$X$333,19,0)&amp;""</f>
        <v xml:space="preserve">Federal regulation requires that technology products conform to WCAG 2.1 AA. Technology platforms that do not substantially conform to this standard put schools at risk of not complying with these requirements. </v>
      </c>
      <c r="D185" s="265" t="str">
        <f>VLOOKUP($A185,Questions!$A$3:$X$333,20,0)&amp;""</f>
        <v/>
      </c>
    </row>
    <row r="186" spans="1:5" ht="77" customHeight="1" x14ac:dyDescent="0.2">
      <c r="A186" s="265" t="s">
        <v>227</v>
      </c>
      <c r="B186" s="265" t="str">
        <f>VLOOKUP($A186,Questions!$A$3:$X$333,2,0)&amp;""</f>
        <v>Does the solution substantially conform to WCAG 2.1 AA?*</v>
      </c>
      <c r="C186" s="265" t="str">
        <f>VLOOKUP($A186,Questions!$A$3:$X$333,19,0)&amp;""</f>
        <v xml:space="preserve">Federal regulation requires that technology products conform to WCAG 2.1 AA. Technology platforms that do not substantially conform to this standard put schools at risk of not complying with these requirements. </v>
      </c>
      <c r="D186" s="265" t="str">
        <f>VLOOKUP($A186,Questions!$A$3:$X$333,20,0)&amp;""</f>
        <v/>
      </c>
    </row>
    <row r="187" spans="1:5" ht="99" customHeight="1" x14ac:dyDescent="0.2">
      <c r="A187" s="265" t="s">
        <v>228</v>
      </c>
      <c r="B187" s="265" t="str">
        <f>VLOOKUP($A187,Questions!$A$3:$X$333,2,0)&amp;""</f>
        <v>Do you have a documented and implemented process for reporting and tracking accessibility issues?*</v>
      </c>
      <c r="C187" s="265" t="str">
        <f>VLOOKUP($A187,Questions!$A$3:$X$333,19,0)&amp;""</f>
        <v/>
      </c>
      <c r="D187" s="265" t="str">
        <f>VLOOKUP($A187,Questions!$A$3:$X$333,20,0)&amp;""</f>
        <v>What is the prioritization of accessibility issues received, and how are they tracked? Is there a regular cadence for tracking and addressing accessibility barriers?</v>
      </c>
    </row>
    <row r="188" spans="1:5" ht="108" customHeight="1" x14ac:dyDescent="0.15">
      <c r="A188" s="265" t="s">
        <v>229</v>
      </c>
      <c r="B188" s="265" t="str">
        <f>VLOOKUP($A188,Questions!$A$3:$X$333,2,0)&amp;""</f>
        <v>Do you have documentation to support the accessibility features of your solution?</v>
      </c>
      <c r="C188" s="265" t="str">
        <f>VLOOKUP($A188,Questions!$A$3:$X$333,19,0)&amp;""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188" s="265" t="str">
        <f>VLOOKUP($A188,Questions!$A$3:$X$333,20,0)&amp;""</f>
        <v>If claims are made about accessibility and there is no supporting documentation on how they can be achieved, ensure that intended configurations and uses of the product in question were assessed for any accessibility documentation or claims.</v>
      </c>
      <c r="E188" s="62" t="s">
        <v>503</v>
      </c>
    </row>
    <row r="189" spans="1:5" ht="72" customHeight="1" x14ac:dyDescent="0.2">
      <c r="A189" s="265" t="s">
        <v>230</v>
      </c>
      <c r="B189" s="265" t="str">
        <f>VLOOKUP($A189,Questions!$A$3:$X$333,2,0)&amp;""</f>
        <v>Has a third-party expert conducted an audit of the most recent version of your solution?</v>
      </c>
      <c r="C189" s="265" t="str">
        <f>VLOOKUP($A189,Questions!$A$3:$X$333,19,0)&amp;""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189" s="265" t="str">
        <f>VLOOKUP($A189,Questions!$A$3:$X$333,20,0)&amp;""</f>
        <v/>
      </c>
    </row>
    <row r="190" spans="1:5" ht="126" customHeight="1" x14ac:dyDescent="0.2">
      <c r="A190" s="265" t="s">
        <v>231</v>
      </c>
      <c r="B190" s="265" t="str">
        <f>VLOOKUP($A190,Questions!$A$3:$X$333,2,0)&amp;""</f>
        <v>Do you have a documented and implemented process for verifying accessibility conformance?</v>
      </c>
      <c r="C190" s="265" t="str">
        <f>VLOOKUP($A190,Questions!$A$3:$X$333,19,0)&amp;""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190" s="265" t="str">
        <f>VLOOKUP($A190,Questions!$A$3:$X$333,20,0)&amp;""</f>
        <v/>
      </c>
    </row>
    <row r="191" spans="1:5" ht="83" customHeight="1" x14ac:dyDescent="0.2">
      <c r="A191" s="265" t="s">
        <v>232</v>
      </c>
      <c r="B191" s="265" t="str">
        <f>VLOOKUP($A191,Questions!$A$3:$X$333,2,0)&amp;""</f>
        <v>Have you adopted a technical or legal standard of conformance for the solution?</v>
      </c>
      <c r="C191" s="265" t="str">
        <f>VLOOKUP($A191,Questions!$A$3:$X$333,19,0)&amp;""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191" s="265" t="str">
        <f>VLOOKUP($A191,Questions!$A$3:$X$333,20,0)&amp;""</f>
        <v/>
      </c>
    </row>
    <row r="192" spans="1:5" ht="88" customHeight="1" x14ac:dyDescent="0.2">
      <c r="A192" s="265" t="s">
        <v>233</v>
      </c>
      <c r="B192" s="265" t="str">
        <f>VLOOKUP($A192,Questions!$A$3:$X$333,2,0)&amp;""</f>
        <v>Can you provide a current, detailed accessibility roadmap with delivery timelines?</v>
      </c>
      <c r="C192" s="265" t="str">
        <f>VLOOKUP($A192,Questions!$A$3:$X$333,19,0)&amp;""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192" s="265" t="str">
        <f>VLOOKUP($A192,Questions!$A$3:$X$333,20,0)&amp;""</f>
        <v>If no roadmap is available, seek additional information from the solution provider such as release notes that address accessibility and any feedback from users that address the accessibility of the solution.</v>
      </c>
    </row>
    <row r="193" spans="1:5" ht="131" customHeight="1" x14ac:dyDescent="0.2">
      <c r="A193" s="265" t="s">
        <v>234</v>
      </c>
      <c r="B193" s="265" t="str">
        <f>VLOOKUP($A193,Questions!$A$3:$X$333,2,0)&amp;""</f>
        <v>Do you expect your staff to maintain a current skill set in IT accessibility?</v>
      </c>
      <c r="C193" s="265" t="str">
        <f>VLOOKUP($A193,Questions!$A$3:$X$333,19,0)&amp;""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193" s="265" t="str">
        <f>VLOOKUP($A193,Questions!$A$3:$X$333,20,0)&amp;""</f>
        <v/>
      </c>
    </row>
    <row r="194" spans="1:5" ht="108" customHeight="1" x14ac:dyDescent="0.2">
      <c r="A194" s="265" t="s">
        <v>235</v>
      </c>
      <c r="B194" s="265" t="str">
        <f>VLOOKUP($A194,Questions!$A$3:$X$333,2,0)&amp;""</f>
        <v>Do you have documented processes and procedures for implementing accessibility into your development lifecycle?</v>
      </c>
      <c r="C194" s="265" t="str">
        <f>VLOOKUP($A194,Questions!$A$3:$X$333,19,0)&amp;""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194" s="265" t="str">
        <f>VLOOKUP($A194,Questions!$A$3:$X$333,20,0)&amp;""</f>
        <v/>
      </c>
    </row>
    <row r="195" spans="1:5" ht="119" customHeight="1" x14ac:dyDescent="0.15">
      <c r="A195" s="265" t="s">
        <v>236</v>
      </c>
      <c r="B195" s="265" t="str">
        <f>VLOOKUP($A195,Questions!$A$3:$X$333,2,0)&amp;""</f>
        <v>Can all functions of the application or service be performed using only the keyboard?</v>
      </c>
      <c r="C195" s="265" t="str">
        <f>VLOOKUP($A195,Questions!$A$3:$X$333,19,0)&amp;""</f>
        <v>One critical accessibility requirement is the full use of a product using only the keyboard, -no mouse or trackpad. This requirement is easy for a nontechnical or non-accessibility expert to understand and verify.</v>
      </c>
      <c r="D195" s="265" t="str">
        <f>VLOOKUP($A195,Questions!$A$3:$X$333,20,0)&amp;""</f>
        <v>To confirm keyboard-only claims, follow the how-to at Minimum Expectations for applications webpage &lt;https://go.iu.edu/minimum-expectations&gt; from Indiana University or reference WebAIM’s Keyboard Testing guidance &lt;https://webaim.org/techniques/keyboard/#testing&gt;.</v>
      </c>
      <c r="E195" s="62" t="s">
        <v>503</v>
      </c>
    </row>
    <row r="196" spans="1:5" ht="90" customHeight="1" x14ac:dyDescent="0.2">
      <c r="A196" s="265" t="s">
        <v>237</v>
      </c>
      <c r="B196" s="265" t="str">
        <f>VLOOKUP($A196,Questions!$A$3:$X$333,2,0)&amp;""</f>
        <v>Does your product rely on activating a special "accessibility mode," a "lite version," or using an alternate interface (including “overlay” or AI-based alternates)  for accessibility purposes?</v>
      </c>
      <c r="C196" s="265" t="str">
        <f>VLOOKUP($A196,Questions!$A$3:$X$333,19,0)&amp;""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196" s="265" t="str">
        <f>VLOOKUP($A196,Questions!$A$3:$X$333,20,0)&amp;""</f>
        <v/>
      </c>
    </row>
    <row r="197" spans="1:5" ht="23" customHeight="1" x14ac:dyDescent="0.2">
      <c r="A197" s="32" t="str">
        <f>VLOOKUP(LEFT($A198,4),'Auto Responses'!$N$4:$O$38,2,0)&amp;""</f>
        <v xml:space="preserve"> Consulting Services</v>
      </c>
      <c r="B197" s="32"/>
      <c r="C197" s="264" t="str">
        <f>Questions!$S$2</f>
        <v>Reason for Question</v>
      </c>
      <c r="D197" s="264" t="str">
        <f>Questions!$T$2</f>
        <v>Follow-Up Inquiries/Responses</v>
      </c>
    </row>
    <row r="198" spans="1:5" ht="54" customHeight="1" x14ac:dyDescent="0.2">
      <c r="A198" s="265" t="s">
        <v>240</v>
      </c>
      <c r="B198" s="265" t="str">
        <f>VLOOKUP($A198,Questions!$A$3:$X$333,2,0)&amp;""</f>
        <v>Will the consultant require access to the institution's network resources?*</v>
      </c>
      <c r="C198" s="265" t="str">
        <f>VLOOKUP($A198,Questions!$A$3:$X$333,19,0)&amp;""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8" s="265" t="str">
        <f>VLOOKUP($A198,Questions!$A$3:$X$333,20,0)&amp;""</f>
        <v>Follow-up inquiries will be institution/implementation specific.</v>
      </c>
    </row>
    <row r="199" spans="1:5" ht="54" customHeight="1" x14ac:dyDescent="0.2">
      <c r="A199" s="265" t="s">
        <v>241</v>
      </c>
      <c r="B199" s="265" t="str">
        <f>VLOOKUP($A199,Questions!$A$3:$X$333,2,0)&amp;""</f>
        <v>Has the consultant received training on (sensitive, HIPAA, PCI, etc.) data handling?*</v>
      </c>
      <c r="C199" s="265" t="str">
        <f>VLOOKUP($A199,Questions!$A$3:$X$333,19,0)&amp;""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199" s="265" t="str">
        <f>VLOOKUP($A199,Questions!$A$3:$X$333,20,0)&amp;""</f>
        <v>Follow-up inquiries will be institution/implementation specific.</v>
      </c>
      <c r="E199" s="226"/>
    </row>
    <row r="200" spans="1:5" ht="54" customHeight="1" x14ac:dyDescent="0.2">
      <c r="A200" s="265" t="s">
        <v>242</v>
      </c>
      <c r="B200" s="265" t="str">
        <f>VLOOKUP($A200,Questions!$A$3:$X$333,2,0)&amp;""</f>
        <v>Is the data encrypted (at rest) while in the consultant's possession?*</v>
      </c>
      <c r="C200" s="265" t="str">
        <f>VLOOKUP($A200,Questions!$A$3:$X$333,19,0)&amp;""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0" s="265" t="str">
        <f>VLOOKUP($A200,Questions!$A$3:$X$333,20,0)&amp;""</f>
        <v>Follow-up inquiries will be institution/implementation specific.</v>
      </c>
    </row>
    <row r="201" spans="1:5" ht="54" customHeight="1" x14ac:dyDescent="0.2">
      <c r="A201" s="265" t="s">
        <v>243</v>
      </c>
      <c r="B201" s="265" t="str">
        <f>VLOOKUP($A201,Questions!$A$3:$X$333,2,0)&amp;""</f>
        <v>Can access be restricted based on source IP address?*</v>
      </c>
      <c r="C201" s="265" t="str">
        <f>VLOOKUP($A201,Questions!$A$3:$X$333,19,0)&amp;""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1" s="265" t="str">
        <f>VLOOKUP($A201,Questions!$A$3:$X$333,20,0)&amp;""</f>
        <v>Follow-up inquiries will be institution/implementation specific.</v>
      </c>
    </row>
    <row r="202" spans="1:5" ht="54" customHeight="1" x14ac:dyDescent="0.2">
      <c r="A202" s="265" t="s">
        <v>244</v>
      </c>
      <c r="B202" s="265" t="str">
        <f>VLOOKUP($A202,Questions!$A$3:$X$333,2,0)&amp;""</f>
        <v>Will the consulting take place on-premises?</v>
      </c>
      <c r="C202" s="265" t="str">
        <f>VLOOKUP($A202,Questions!$A$3:$X$333,19,0)&amp;""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2" s="265" t="str">
        <f>VLOOKUP($A202,Questions!$A$3:$X$333,20,0)&amp;""</f>
        <v>Follow-up inquiries will be institution/implementation specific.</v>
      </c>
    </row>
    <row r="203" spans="1:5" ht="54" customHeight="1" x14ac:dyDescent="0.2">
      <c r="A203" s="265" t="s">
        <v>245</v>
      </c>
      <c r="B203" s="265" t="str">
        <f>VLOOKUP($A203,Questions!$A$3:$X$333,2,0)&amp;""</f>
        <v>Will the consultant require access to hardware in the institution's data centers?</v>
      </c>
      <c r="C203" s="265" t="str">
        <f>VLOOKUP($A203,Questions!$A$3:$X$333,19,0)&amp;""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3" s="265" t="str">
        <f>VLOOKUP($A203,Questions!$A$3:$X$333,20,0)&amp;""</f>
        <v>Follow-up inquiries will be institution/implementation specific.</v>
      </c>
    </row>
    <row r="204" spans="1:5" ht="54" customHeight="1" x14ac:dyDescent="0.2">
      <c r="A204" s="265" t="s">
        <v>246</v>
      </c>
      <c r="B204" s="265" t="str">
        <f>VLOOKUP($A204,Questions!$A$3:$X$333,2,0)&amp;""</f>
        <v>Will the consultant require an account within the institution's domain (@*.edu)?</v>
      </c>
      <c r="C204" s="265" t="str">
        <f>VLOOKUP($A204,Questions!$A$3:$X$333,19,0)&amp;""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4" s="265" t="str">
        <f>VLOOKUP($A204,Questions!$A$3:$X$333,20,0)&amp;""</f>
        <v>Follow-up inquiries will be institution/implementation specific.</v>
      </c>
      <c r="E204" s="226"/>
    </row>
    <row r="205" spans="1:5" ht="54" customHeight="1" x14ac:dyDescent="0.2">
      <c r="A205" s="265" t="s">
        <v>247</v>
      </c>
      <c r="B205" s="265" t="str">
        <f>VLOOKUP($A205,Questions!$A$3:$X$333,2,0)&amp;""</f>
        <v>Will any data be transferred to the consultant's possession?</v>
      </c>
      <c r="C205" s="265" t="str">
        <f>VLOOKUP($A205,Questions!$A$3:$X$333,19,0)&amp;""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5" s="265" t="str">
        <f>VLOOKUP($A205,Questions!$A$3:$X$333,20,0)&amp;""</f>
        <v>Follow-up inquiries will be institution/implementation specific.</v>
      </c>
    </row>
    <row r="206" spans="1:5" ht="54" customHeight="1" x14ac:dyDescent="0.2">
      <c r="A206" s="265" t="s">
        <v>248</v>
      </c>
      <c r="B206" s="265" t="str">
        <f>VLOOKUP($A206,Questions!$A$3:$X$333,2,0)&amp;""</f>
        <v>Will the consultant need remote access to the institution's network or systems?</v>
      </c>
      <c r="C206" s="265" t="str">
        <f>VLOOKUP($A206,Questions!$A$3:$X$333,19,0)&amp;""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206" s="265" t="str">
        <f>VLOOKUP($A206,Questions!$A$3:$X$333,20,0)&amp;""</f>
        <v>Follow-up inquiries will be institution/implementation specific.</v>
      </c>
    </row>
    <row r="207" spans="1:5" ht="57" customHeight="1" x14ac:dyDescent="0.2">
      <c r="A207" s="32" t="str">
        <f>VLOOKUP(LEFT($A208,4),'Auto Responses'!$N$4:$O$38,2,0)&amp;""</f>
        <v xml:space="preserve">HIPAA Compliance </v>
      </c>
      <c r="B207" s="32"/>
      <c r="C207" s="264" t="str">
        <f>Questions!$S$2</f>
        <v>Reason for Question</v>
      </c>
      <c r="D207" s="264" t="str">
        <f>Questions!$T$2</f>
        <v>Follow-Up Inquiries/Responses</v>
      </c>
    </row>
    <row r="208" spans="1:5" ht="71" customHeight="1" x14ac:dyDescent="0.2">
      <c r="A208" s="265" t="s">
        <v>249</v>
      </c>
      <c r="B208" s="265" t="str">
        <f>VLOOKUP($A208,Questions!$A$3:$X$333,2,0)&amp;""</f>
        <v>Do your workforce members receive regular training related to the Health Insurance Portability and Accountability Act (HIPAA) Privacy and Security Rules and the HITECH Act?*</v>
      </c>
      <c r="C208" s="265" t="str">
        <f>VLOOKUP($A208,Questions!$A$3:$X$333,19,0)&amp;""</f>
        <v>HIPAA</v>
      </c>
      <c r="D208" s="265" t="str">
        <f>VLOOKUP($A208,Questions!$A$3:$X$333,20,0)&amp;""</f>
        <v>Refer to HIPAA documentation or your institution's Chief HIPAA Security Officer.</v>
      </c>
    </row>
    <row r="209" spans="1:5" ht="53" customHeight="1" x14ac:dyDescent="0.2">
      <c r="A209" s="265" t="s">
        <v>250</v>
      </c>
      <c r="B209" s="265" t="str">
        <f>VLOOKUP($A209,Questions!$A$3:$X$333,2,0)&amp;""</f>
        <v>Have you identified areas of risk?*</v>
      </c>
      <c r="C209" s="265" t="str">
        <f>VLOOKUP($A209,Questions!$A$3:$X$333,19,0)&amp;""</f>
        <v>HIPAA</v>
      </c>
      <c r="D209" s="265" t="str">
        <f>VLOOKUP($A209,Questions!$A$3:$X$333,20,0)&amp;""</f>
        <v>Refer to HIPAA documentation or your institution's Chief HIPAA Security Officer.</v>
      </c>
    </row>
    <row r="210" spans="1:5" ht="54" customHeight="1" x14ac:dyDescent="0.2">
      <c r="A210" s="265" t="s">
        <v>251</v>
      </c>
      <c r="B210" s="265" t="str">
        <f>VLOOKUP($A210,Questions!$A$3:$X$333,2,0)&amp;""</f>
        <v>Have the relevant policies/plans been tested?*</v>
      </c>
      <c r="C210" s="265" t="str">
        <f>VLOOKUP($A210,Questions!$A$3:$X$333,19,0)&amp;""</f>
        <v>HIPAA</v>
      </c>
      <c r="D210" s="265" t="str">
        <f>VLOOKUP($A210,Questions!$A$3:$X$333,20,0)&amp;""</f>
        <v>Refer to HIPAA documentation or your institution's Chief HIPAA Security Officer.</v>
      </c>
      <c r="E210" s="226"/>
    </row>
    <row r="211" spans="1:5" ht="52" customHeight="1" x14ac:dyDescent="0.2">
      <c r="A211" s="265" t="s">
        <v>252</v>
      </c>
      <c r="B211" s="265" t="str">
        <f>VLOOKUP($A211,Questions!$A$3:$X$333,2,0)&amp;""</f>
        <v>Have you entered into a Business Associate Agreements with all subcontractors who may have access to protected health information (PHI)?*</v>
      </c>
      <c r="C211" s="265" t="str">
        <f>VLOOKUP($A211,Questions!$A$3:$X$333,19,0)&amp;""</f>
        <v>HIPAA</v>
      </c>
      <c r="D211" s="265" t="str">
        <f>VLOOKUP($A211,Questions!$A$3:$X$333,20,0)&amp;""</f>
        <v>Refer to HIPAA documentation or your institution's Chief HIPAA Security Officer.</v>
      </c>
    </row>
    <row r="212" spans="1:5" ht="31" customHeight="1" x14ac:dyDescent="0.2">
      <c r="A212" s="265" t="s">
        <v>253</v>
      </c>
      <c r="B212" s="265" t="str">
        <f>VLOOKUP($A212,Questions!$A$3:$X$333,2,0)&amp;""</f>
        <v>Do you monitor or receive information regarding changes in HIPAA regulations?</v>
      </c>
      <c r="C212" s="265" t="str">
        <f>VLOOKUP($A212,Questions!$A$3:$X$333,19,0)&amp;""</f>
        <v>HIPAA</v>
      </c>
      <c r="D212" s="265" t="str">
        <f>VLOOKUP($A212,Questions!$A$3:$X$333,20,0)&amp;""</f>
        <v>Refer to HIPAA documentation or your institution's Chief HIPAA Security Officer.</v>
      </c>
    </row>
    <row r="213" spans="1:5" ht="53" customHeight="1" x14ac:dyDescent="0.2">
      <c r="A213" s="265" t="s">
        <v>254</v>
      </c>
      <c r="B213" s="265" t="str">
        <f>VLOOKUP($A213,Questions!$A$3:$X$333,2,0)&amp;""</f>
        <v>Has your organization designated HIPAA Privacy and Security officers as required by the rules?</v>
      </c>
      <c r="C213" s="265" t="str">
        <f>VLOOKUP($A213,Questions!$A$3:$X$333,19,0)&amp;""</f>
        <v>HIPAA</v>
      </c>
      <c r="D213" s="265" t="str">
        <f>VLOOKUP($A213,Questions!$A$3:$X$333,20,0)&amp;""</f>
        <v>Refer to HIPAA documentation or your institution's Chief HIPAA Security Officer.</v>
      </c>
    </row>
    <row r="214" spans="1:5" ht="51" customHeight="1" x14ac:dyDescent="0.2">
      <c r="A214" s="265" t="s">
        <v>255</v>
      </c>
      <c r="B214" s="265" t="str">
        <f>VLOOKUP($A214,Questions!$A$3:$X$333,2,0)&amp;""</f>
        <v>Do you comply with the requirements of the Health Information Technology for Economic and Clinical Health Act (HITECH)?</v>
      </c>
      <c r="C214" s="265" t="str">
        <f>VLOOKUP($A214,Questions!$A$3:$X$333,19,0)&amp;""</f>
        <v>HIPAA</v>
      </c>
      <c r="D214" s="265" t="str">
        <f>VLOOKUP($A214,Questions!$A$3:$X$333,20,0)&amp;""</f>
        <v>Refer to HIPAA documentation or your institution's Chief HIPAA Security Officer.</v>
      </c>
    </row>
    <row r="215" spans="1:5" ht="48" customHeight="1" x14ac:dyDescent="0.2">
      <c r="A215" s="265" t="s">
        <v>256</v>
      </c>
      <c r="B215" s="265" t="str">
        <f>VLOOKUP($A215,Questions!$A$3:$X$333,2,0)&amp;""</f>
        <v>Have you conducted a risk analysis as required under the HIPAA Security Rule?</v>
      </c>
      <c r="C215" s="265" t="str">
        <f>VLOOKUP($A215,Questions!$A$3:$X$333,19,0)&amp;""</f>
        <v>HIPAA</v>
      </c>
      <c r="D215" s="265" t="str">
        <f>VLOOKUP($A215,Questions!$A$3:$X$333,20,0)&amp;""</f>
        <v>Refer to HIPAA documentation or your institution's Chief HIPAA Security Officer.</v>
      </c>
    </row>
    <row r="216" spans="1:5" x14ac:dyDescent="0.2">
      <c r="A216" s="265" t="s">
        <v>257</v>
      </c>
      <c r="B216" s="265" t="str">
        <f>VLOOKUP($A216,Questions!$A$3:$X$333,2,0)&amp;""</f>
        <v>Have you taken actions to mitigate the identified risks?</v>
      </c>
      <c r="C216" s="265" t="str">
        <f>VLOOKUP($A216,Questions!$A$3:$X$333,19,0)&amp;""</f>
        <v>HIPAA</v>
      </c>
      <c r="D216" s="265" t="str">
        <f>VLOOKUP($A216,Questions!$A$3:$X$333,20,0)&amp;""</f>
        <v>Refer to HIPAA documentation or your institution's Chief HIPAA Security Officer.</v>
      </c>
    </row>
    <row r="217" spans="1:5" ht="46" customHeight="1" x14ac:dyDescent="0.2">
      <c r="A217" s="265" t="s">
        <v>258</v>
      </c>
      <c r="B217" s="265" t="str">
        <f>VLOOKUP($A217,Questions!$A$3:$X$333,2,0)&amp;""</f>
        <v>Does your application require user and system administrator password changes at a frequency no greater than 90 days?</v>
      </c>
      <c r="C217" s="265" t="str">
        <f>VLOOKUP($A217,Questions!$A$3:$X$333,19,0)&amp;""</f>
        <v>HIPAA</v>
      </c>
      <c r="D217" s="265" t="str">
        <f>VLOOKUP($A217,Questions!$A$3:$X$333,20,0)&amp;""</f>
        <v>Refer to HIPAA documentation or your institution's Chief HIPAA Security Officer.</v>
      </c>
      <c r="E217" s="226"/>
    </row>
    <row r="218" spans="1:5" ht="70" customHeight="1" x14ac:dyDescent="0.2">
      <c r="A218" s="265" t="s">
        <v>259</v>
      </c>
      <c r="B218" s="265" t="str">
        <f>VLOOKUP($A218,Questions!$A$3:$X$333,2,0)&amp;""</f>
        <v>Does your application require users to set their own password after an administrator reset or on first use of the account?</v>
      </c>
      <c r="C218" s="265" t="str">
        <f>VLOOKUP($A218,Questions!$A$3:$X$333,19,0)&amp;""</f>
        <v>HIPAA</v>
      </c>
      <c r="D218" s="265" t="str">
        <f>VLOOKUP($A218,Questions!$A$3:$X$333,20,0)&amp;""</f>
        <v>Refer to HIPAA documentation or your institution's Chief HIPAA Security Officer.</v>
      </c>
    </row>
    <row r="219" spans="1:5" ht="28" customHeight="1" x14ac:dyDescent="0.2">
      <c r="A219" s="265" t="s">
        <v>260</v>
      </c>
      <c r="B219" s="265" t="str">
        <f>VLOOKUP($A219,Questions!$A$3:$X$333,2,0)&amp;""</f>
        <v>Does your application lock out an account after a number of failed login attempts?</v>
      </c>
      <c r="C219" s="265" t="str">
        <f>VLOOKUP($A219,Questions!$A$3:$X$333,19,0)&amp;""</f>
        <v>HIPAA</v>
      </c>
      <c r="D219" s="265" t="str">
        <f>VLOOKUP($A219,Questions!$A$3:$X$333,20,0)&amp;""</f>
        <v>Refer to HIPAA documentation or your institution's Chief HIPAA Security Officer.</v>
      </c>
    </row>
    <row r="220" spans="1:5" ht="31" customHeight="1" x14ac:dyDescent="0.2">
      <c r="A220" s="265" t="s">
        <v>261</v>
      </c>
      <c r="B220" s="265" t="str">
        <f>VLOOKUP($A220,Questions!$A$3:$X$333,2,0)&amp;""</f>
        <v>Does your application automatically lock or log-out an account after a period of inactivity?</v>
      </c>
      <c r="C220" s="265" t="str">
        <f>VLOOKUP($A220,Questions!$A$3:$X$333,19,0)&amp;""</f>
        <v>HIPAA</v>
      </c>
      <c r="D220" s="265" t="str">
        <f>VLOOKUP($A220,Questions!$A$3:$X$333,20,0)&amp;""</f>
        <v>Refer to HIPAA documentation or your institution's Chief HIPAA Security Officer.</v>
      </c>
    </row>
    <row r="221" spans="1:5" ht="33" customHeight="1" x14ac:dyDescent="0.2">
      <c r="A221" s="265" t="s">
        <v>262</v>
      </c>
      <c r="B221" s="265" t="str">
        <f>VLOOKUP($A221,Questions!$A$3:$X$333,2,0)&amp;""</f>
        <v>Are passwords visible in plain text, whether when stored or entered, including service level accounts (i.e., database accounts, etc.)?</v>
      </c>
      <c r="C221" s="265" t="str">
        <f>VLOOKUP($A221,Questions!$A$3:$X$333,19,0)&amp;""</f>
        <v>HIPAA</v>
      </c>
      <c r="D221" s="265" t="str">
        <f>VLOOKUP($A221,Questions!$A$3:$X$333,20,0)&amp;""</f>
        <v>Refer to HIPAA documentation or your institution's Chief HIPAA Security Officer.</v>
      </c>
    </row>
    <row r="222" spans="1:5" ht="52" customHeight="1" x14ac:dyDescent="0.2">
      <c r="A222" s="265" t="s">
        <v>263</v>
      </c>
      <c r="B222" s="265" t="str">
        <f>VLOOKUP($A222,Questions!$A$3:$X$333,2,0)&amp;""</f>
        <v>If the application is institution-hosted, can all service level and administrative account passwords be changed by the institution?</v>
      </c>
      <c r="C222" s="265" t="str">
        <f>VLOOKUP($A222,Questions!$A$3:$X$333,19,0)&amp;""</f>
        <v>HIPAA</v>
      </c>
      <c r="D222" s="265" t="str">
        <f>VLOOKUP($A222,Questions!$A$3:$X$333,20,0)&amp;""</f>
        <v>Refer to HIPAA documentation or your institution's Chief HIPAA Security Officer.</v>
      </c>
    </row>
    <row r="223" spans="1:5" ht="31" customHeight="1" x14ac:dyDescent="0.2">
      <c r="A223" s="265" t="s">
        <v>264</v>
      </c>
      <c r="B223" s="265" t="str">
        <f>VLOOKUP($A223,Questions!$A$3:$X$333,2,0)&amp;""</f>
        <v>Does your application provide the ability to define user access levels?</v>
      </c>
      <c r="C223" s="265" t="str">
        <f>VLOOKUP($A223,Questions!$A$3:$X$333,19,0)&amp;""</f>
        <v>HIPAA</v>
      </c>
      <c r="D223" s="265" t="str">
        <f>VLOOKUP($A223,Questions!$A$3:$X$333,20,0)&amp;""</f>
        <v>Refer to HIPAA documentation or your institution's Chief HIPAA Security Officer.</v>
      </c>
    </row>
    <row r="224" spans="1:5" ht="30" customHeight="1" x14ac:dyDescent="0.2">
      <c r="A224" s="265" t="s">
        <v>265</v>
      </c>
      <c r="B224" s="265" t="str">
        <f>VLOOKUP($A224,Questions!$A$3:$X$333,2,0)&amp;""</f>
        <v>Does your application support varying levels of access to administrative tasks defined individually per user?</v>
      </c>
      <c r="C224" s="265" t="str">
        <f>VLOOKUP($A224,Questions!$A$3:$X$333,19,0)&amp;""</f>
        <v>HIPAA</v>
      </c>
      <c r="D224" s="265" t="str">
        <f>VLOOKUP($A224,Questions!$A$3:$X$333,20,0)&amp;""</f>
        <v>Refer to HIPAA documentation or your institution's Chief HIPAA Security Officer.</v>
      </c>
    </row>
    <row r="225" spans="1:5" ht="44" customHeight="1" x14ac:dyDescent="0.15">
      <c r="A225" s="265" t="s">
        <v>266</v>
      </c>
      <c r="B225" s="265" t="str">
        <f>VLOOKUP($A225,Questions!$A$3:$X$333,2,0)&amp;""</f>
        <v>Does your application support varying levels of access to records based on user ID?</v>
      </c>
      <c r="C225" s="265" t="str">
        <f>VLOOKUP($A225,Questions!$A$3:$X$333,19,0)&amp;""</f>
        <v>HIPAA</v>
      </c>
      <c r="D225" s="265" t="str">
        <f>VLOOKUP($A225,Questions!$A$3:$X$333,20,0)&amp;""</f>
        <v>Refer to HIPAA documentation or your institution's Chief HIPAA Security Officer.</v>
      </c>
      <c r="E225" s="62" t="s">
        <v>503</v>
      </c>
    </row>
    <row r="226" spans="1:5" x14ac:dyDescent="0.2">
      <c r="A226" s="265" t="s">
        <v>267</v>
      </c>
      <c r="B226" s="265" t="str">
        <f>VLOOKUP($A226,Questions!$A$3:$X$333,2,0)&amp;""</f>
        <v>Is there a limit to the number of groups to which a user can be assigned?</v>
      </c>
      <c r="C226" s="265" t="str">
        <f>VLOOKUP($A226,Questions!$A$3:$X$333,19,0)&amp;""</f>
        <v>HIPAA</v>
      </c>
      <c r="D226" s="265" t="str">
        <f>VLOOKUP($A226,Questions!$A$3:$X$333,20,0)&amp;""</f>
        <v>Refer to HIPAA documentation or your institution's Chief HIPAA Security Officer.</v>
      </c>
    </row>
    <row r="227" spans="1:5" ht="48" customHeight="1" x14ac:dyDescent="0.2">
      <c r="A227" s="265" t="s">
        <v>268</v>
      </c>
      <c r="B227" s="265" t="str">
        <f>VLOOKUP($A227,Questions!$A$3:$X$333,2,0)&amp;""</f>
        <v>Do accounts used for solution provider-supplied remote support abide by the same authentication policies and access logging as the rest of the system?</v>
      </c>
      <c r="C227" s="265" t="str">
        <f>VLOOKUP($A227,Questions!$A$3:$X$333,19,0)&amp;""</f>
        <v>HIPAA</v>
      </c>
      <c r="D227" s="265" t="str">
        <f>VLOOKUP($A227,Questions!$A$3:$X$333,20,0)&amp;""</f>
        <v>Refer to HIPAA documentation or your institution's Chief HIPAA Security Officer.</v>
      </c>
    </row>
    <row r="228" spans="1:5" ht="49" customHeight="1" x14ac:dyDescent="0.2">
      <c r="A228" s="265" t="s">
        <v>269</v>
      </c>
      <c r="B228" s="265" t="str">
        <f>VLOOKUP($A228,Questions!$A$3:$X$333,2,0)&amp;""</f>
        <v>Does the application log record access including specific user, date/time of access, and originating IP or device?</v>
      </c>
      <c r="C228" s="265" t="str">
        <f>VLOOKUP($A228,Questions!$A$3:$X$333,19,0)&amp;""</f>
        <v>HIPAA</v>
      </c>
      <c r="D228" s="265" t="str">
        <f>VLOOKUP($A228,Questions!$A$3:$X$333,20,0)&amp;""</f>
        <v>Refer to HIPAA documentation or your institution's Chief HIPAA Security Officer.</v>
      </c>
    </row>
    <row r="229" spans="1:5" ht="54" customHeight="1" x14ac:dyDescent="0.2">
      <c r="A229" s="265" t="s">
        <v>270</v>
      </c>
      <c r="B229" s="265" t="str">
        <f>VLOOKUP($A229,Questions!$A$3:$X$333,2,0)&amp;""</f>
        <v>Does the application log administrative activity, such as user account access changes and password changes, including specific user, date/time of changes, and originating IP or device?</v>
      </c>
      <c r="C229" s="265" t="str">
        <f>VLOOKUP($A229,Questions!$A$3:$X$333,19,0)&amp;""</f>
        <v>HIPAA</v>
      </c>
      <c r="D229" s="265" t="str">
        <f>VLOOKUP($A229,Questions!$A$3:$X$333,20,0)&amp;""</f>
        <v>Refer to HIPAA documentation or your institution's Chief HIPAA Security Officer.</v>
      </c>
    </row>
    <row r="230" spans="1:5" ht="52" customHeight="1" x14ac:dyDescent="0.2">
      <c r="A230" s="265" t="s">
        <v>271</v>
      </c>
      <c r="B230" s="265" t="str">
        <f>VLOOKUP($A230,Questions!$A$3:$X$333,2,0)&amp;""</f>
        <v>Do you retain logs for at least as long as required by HIPAA regulations?</v>
      </c>
      <c r="C230" s="265" t="str">
        <f>VLOOKUP($A230,Questions!$A$3:$X$333,19,0)&amp;""</f>
        <v>HIPAA</v>
      </c>
      <c r="D230" s="265" t="str">
        <f>VLOOKUP($A230,Questions!$A$3:$X$333,20,0)&amp;""</f>
        <v>Refer to HIPAA documentation or your institution's Chief HIPAA Security Officer.</v>
      </c>
    </row>
    <row r="231" spans="1:5" ht="51" customHeight="1" x14ac:dyDescent="0.2">
      <c r="A231" s="265" t="s">
        <v>272</v>
      </c>
      <c r="B231" s="265" t="str">
        <f>VLOOKUP($A231,Questions!$A$3:$X$333,2,0)&amp;""</f>
        <v>Can the application logs be archived?</v>
      </c>
      <c r="C231" s="265" t="str">
        <f>VLOOKUP($A231,Questions!$A$3:$X$333,19,0)&amp;""</f>
        <v>HIPAA</v>
      </c>
      <c r="D231" s="265" t="str">
        <f>VLOOKUP($A231,Questions!$A$3:$X$333,20,0)&amp;""</f>
        <v>Refer to HIPAA documentation or your institution's Chief HIPAA Security Officer.</v>
      </c>
    </row>
    <row r="232" spans="1:5" ht="38" customHeight="1" x14ac:dyDescent="0.2">
      <c r="A232" s="265" t="s">
        <v>273</v>
      </c>
      <c r="B232" s="265" t="str">
        <f>VLOOKUP($A232,Questions!$A$3:$X$333,2,0)&amp;""</f>
        <v>Can the application logs be saved externally?</v>
      </c>
      <c r="C232" s="265" t="str">
        <f>VLOOKUP($A232,Questions!$A$3:$X$333,19,0)&amp;""</f>
        <v>HIPAA</v>
      </c>
      <c r="D232" s="265" t="str">
        <f>VLOOKUP($A232,Questions!$A$3:$X$333,20,0)&amp;""</f>
        <v>Refer to HIPAA documentation or your institution's Chief HIPAA Security Officer.</v>
      </c>
    </row>
    <row r="233" spans="1:5" ht="39" customHeight="1" x14ac:dyDescent="0.2">
      <c r="A233" s="265" t="s">
        <v>274</v>
      </c>
      <c r="B233" s="265" t="str">
        <f>VLOOKUP($A233,Questions!$A$3:$X$333,2,0)&amp;""</f>
        <v>Do you have a disaster recovery plan and emergency mode operation plan?</v>
      </c>
      <c r="C233" s="265" t="str">
        <f>VLOOKUP($A233,Questions!$A$3:$X$333,19,0)&amp;""</f>
        <v>HIPAA</v>
      </c>
      <c r="D233" s="265" t="str">
        <f>VLOOKUP($A233,Questions!$A$3:$X$333,20,0)&amp;""</f>
        <v>Refer to HIPAA documentation or your institution's Chief HIPAA Security Officer.</v>
      </c>
    </row>
    <row r="234" spans="1:5" ht="35" customHeight="1" x14ac:dyDescent="0.2">
      <c r="A234" s="265" t="s">
        <v>275</v>
      </c>
      <c r="B234" s="265" t="str">
        <f>VLOOKUP($A234,Questions!$A$3:$X$333,2,0)&amp;""</f>
        <v>Can you provide a HIPAA compliance attestation document?</v>
      </c>
      <c r="C234" s="265" t="str">
        <f>VLOOKUP($A234,Questions!$A$3:$X$333,19,0)&amp;""</f>
        <v>HIPAA</v>
      </c>
      <c r="D234" s="265" t="str">
        <f>VLOOKUP($A234,Questions!$A$3:$X$333,20,0)&amp;""</f>
        <v>Refer to HIPAA documentation or your institution's Chief HIPAA Security Officer.</v>
      </c>
    </row>
    <row r="235" spans="1:5" ht="49" customHeight="1" x14ac:dyDescent="0.2">
      <c r="A235" s="265" t="s">
        <v>276</v>
      </c>
      <c r="B235" s="265" t="str">
        <f>VLOOKUP($A235,Questions!$A$3:$X$333,2,0)&amp;""</f>
        <v>Are you willing to enter into a Business Associate Agreement (BAA)?</v>
      </c>
      <c r="C235" s="265" t="str">
        <f>VLOOKUP($A235,Questions!$A$3:$X$333,19,0)&amp;""</f>
        <v>HIPAA</v>
      </c>
      <c r="D235" s="265" t="str">
        <f>VLOOKUP($A235,Questions!$A$3:$X$333,20,0)&amp;""</f>
        <v>Refer to HIPAA documentation or your institution's Chief HIPAA Security Officer.</v>
      </c>
    </row>
    <row r="236" spans="1:5" ht="30" customHeight="1" x14ac:dyDescent="0.2">
      <c r="A236" s="265" t="s">
        <v>277</v>
      </c>
      <c r="B236" s="265" t="str">
        <f>VLOOKUP($A236,Questions!$A$3:$X$333,2,0)&amp;""</f>
        <v>Do your data backup and retention policies and practices meet HIPAA requirements?</v>
      </c>
      <c r="C236" s="265" t="str">
        <f>VLOOKUP($A236,Questions!$A$3:$X$333,19,0)&amp;""</f>
        <v>HIPAA</v>
      </c>
      <c r="D236" s="265" t="str">
        <f>VLOOKUP($A236,Questions!$A$3:$X$333,20,0)&amp;""</f>
        <v>Refer to HIPAA documentation or your institution's Chief HIPAA Security Officer.</v>
      </c>
    </row>
    <row r="237" spans="1:5" ht="33" customHeight="1" x14ac:dyDescent="0.2">
      <c r="A237" s="32" t="str">
        <f>VLOOKUP(LEFT($A238,4),'Auto Responses'!$N$4:$O$38,2,0)&amp;""</f>
        <v xml:space="preserve"> Payment Card Industry Data Security Standard (PCI DSS)</v>
      </c>
      <c r="B237" s="32"/>
      <c r="C237" s="264" t="str">
        <f>Questions!$S$2</f>
        <v>Reason for Question</v>
      </c>
      <c r="D237" s="264" t="str">
        <f>Questions!$T$2</f>
        <v>Follow-Up Inquiries/Responses</v>
      </c>
    </row>
    <row r="238" spans="1:5" ht="68" customHeight="1" x14ac:dyDescent="0.15">
      <c r="A238" s="265" t="s">
        <v>278</v>
      </c>
      <c r="B238" s="265" t="str">
        <f>VLOOKUP($A238,Questions!$A$3:$X$333,2,0)&amp;""</f>
        <v>Do you have a current, executed within the past year, Attestation of Compliance (AoC) or Report on Compliance (RoC)?*</v>
      </c>
      <c r="C238" s="265" t="str">
        <f>VLOOKUP($A238,Questions!$A$3:$X$333,19,0)&amp;""</f>
        <v>PCI DSS</v>
      </c>
      <c r="D238" s="265" t="str">
        <f>VLOOKUP($A238,Questions!$A$3:$X$333,20,0)&amp;""</f>
        <v>Refer to PCI DSS documentation or your institution's treasurer's office.</v>
      </c>
      <c r="E238" s="62" t="s">
        <v>503</v>
      </c>
    </row>
    <row r="239" spans="1:5" ht="36" customHeight="1" x14ac:dyDescent="0.2">
      <c r="A239" s="265" t="s">
        <v>279</v>
      </c>
      <c r="B239" s="265" t="str">
        <f>VLOOKUP($A239,Questions!$A$3:$X$333,2,0)&amp;""</f>
        <v>Is the application listed as an approved Payment Application Data Security Standard (PA-DSS) application?*</v>
      </c>
      <c r="C239" s="265" t="str">
        <f>VLOOKUP($A239,Questions!$A$3:$X$333,19,0)&amp;""</f>
        <v>PCI DSS</v>
      </c>
      <c r="D239" s="265" t="str">
        <f>VLOOKUP($A239,Questions!$A$3:$X$333,20,0)&amp;""</f>
        <v>Refer to PCI DSS documentation or your institution's treasurer's office.</v>
      </c>
    </row>
    <row r="240" spans="1:5" ht="91" customHeight="1" x14ac:dyDescent="0.2">
      <c r="A240" s="265" t="s">
        <v>280</v>
      </c>
      <c r="B240" s="265" t="str">
        <f>VLOOKUP($A240,Questions!$A$3:$X$333,2,0)&amp;""</f>
        <v>Does the system or solutions use a third party to collect, store, process, or transmit cardholder (payment/credit/debt card) data?*</v>
      </c>
      <c r="C240" s="265" t="str">
        <f>VLOOKUP($A240,Questions!$A$3:$X$333,19,0)&amp;""</f>
        <v>PCI DSS</v>
      </c>
      <c r="D240" s="265" t="str">
        <f>VLOOKUP($A240,Questions!$A$3:$X$333,20,0)&amp;""</f>
        <v>Refer to PCI DSS documentation or your institution's treasurer's office.</v>
      </c>
    </row>
    <row r="241" spans="1:5" ht="95" customHeight="1" x14ac:dyDescent="0.2">
      <c r="A241" s="265" t="s">
        <v>281</v>
      </c>
      <c r="B241" s="265" t="str">
        <f>VLOOKUP($A241,Questions!$A$3:$X$333,2,0)&amp;""</f>
        <v>Do your systems or solutions store, process, or transmit cardholder (payment/credit/debt card) data?</v>
      </c>
      <c r="C241" s="265" t="str">
        <f>VLOOKUP($A241,Questions!$A$3:$X$333,19,0)&amp;""</f>
        <v>PCI DSS</v>
      </c>
      <c r="D241" s="265" t="str">
        <f>VLOOKUP($A241,Questions!$A$3:$X$333,20,0)&amp;""</f>
        <v>Refer to PCI DSS documentation or your institution's treasurer's office.</v>
      </c>
    </row>
    <row r="242" spans="1:5" ht="91" customHeight="1" x14ac:dyDescent="0.2">
      <c r="A242" s="265" t="s">
        <v>282</v>
      </c>
      <c r="B242" s="265" t="str">
        <f>VLOOKUP($A242,Questions!$A$3:$X$333,2,0)&amp;""</f>
        <v>Are you compliant with the Payment Card Industry Data Security Standard (PCI DSS)?</v>
      </c>
      <c r="C242" s="265" t="str">
        <f>VLOOKUP($A242,Questions!$A$3:$X$333,19,0)&amp;""</f>
        <v>PCI DSS</v>
      </c>
      <c r="D242" s="265" t="str">
        <f>VLOOKUP($A242,Questions!$A$3:$X$333,20,0)&amp;""</f>
        <v>Refer to PCI DSS documentation or your institution's treasurer's office.</v>
      </c>
    </row>
    <row r="243" spans="1:5" ht="102" customHeight="1" x14ac:dyDescent="0.2">
      <c r="A243" s="265" t="s">
        <v>283</v>
      </c>
      <c r="B243" s="265" t="str">
        <f>VLOOKUP($A243,Questions!$A$3:$X$333,2,0)&amp;""</f>
        <v>Are you classified as a service provider?</v>
      </c>
      <c r="C243" s="265" t="str">
        <f>VLOOKUP($A243,Questions!$A$3:$X$333,19,0)&amp;""</f>
        <v>PCI DSS</v>
      </c>
      <c r="D243" s="265" t="str">
        <f>VLOOKUP($A243,Questions!$A$3:$X$333,20,0)&amp;""</f>
        <v>Refer to PCI DSS documentation or your institution's treasurer's office.</v>
      </c>
    </row>
    <row r="244" spans="1:5" ht="108" customHeight="1" x14ac:dyDescent="0.2">
      <c r="A244" s="265" t="s">
        <v>284</v>
      </c>
      <c r="B244" s="265" t="str">
        <f>VLOOKUP($A244,Questions!$A$3:$X$333,2,0)&amp;""</f>
        <v>Are you on the list of Visa approved service providers?</v>
      </c>
      <c r="C244" s="265" t="str">
        <f>VLOOKUP($A244,Questions!$A$3:$X$333,19,0)&amp;""</f>
        <v>PCI DSS</v>
      </c>
      <c r="D244" s="265" t="str">
        <f>VLOOKUP($A244,Questions!$A$3:$X$333,20,0)&amp;""</f>
        <v>Refer to PCI DSS documentation or your institution's treasurer's office.</v>
      </c>
    </row>
    <row r="245" spans="1:5" ht="51" customHeight="1" x14ac:dyDescent="0.2">
      <c r="A245" s="265" t="s">
        <v>285</v>
      </c>
      <c r="B245" s="265" t="str">
        <f>VLOOKUP($A245,Questions!$A$3:$X$333,2,0)&amp;""</f>
        <v>Are you classified as a merchant? If so, what level (1, 2, 3, 4)?</v>
      </c>
      <c r="C245" s="265" t="str">
        <f>VLOOKUP($A245,Questions!$A$3:$X$333,19,0)&amp;""</f>
        <v>PCI DSS</v>
      </c>
      <c r="D245" s="265" t="str">
        <f>VLOOKUP($A245,Questions!$A$3:$X$333,20,0)&amp;""</f>
        <v>Refer to PCI DSS documentation or your institution's treasurer's office.</v>
      </c>
    </row>
    <row r="246" spans="1:5" ht="82" customHeight="1" x14ac:dyDescent="0.2">
      <c r="A246" s="265" t="s">
        <v>286</v>
      </c>
      <c r="B246" s="265" t="str">
        <f>VLOOKUP($A246,Questions!$A$3:$X$333,2,0)&amp;""</f>
        <v>Describe the architecture employed by the system to verify and authorize credit card transactions.</v>
      </c>
      <c r="C246" s="265" t="str">
        <f>VLOOKUP($A246,Questions!$A$3:$X$333,19,0)&amp;""</f>
        <v>PCI DSS</v>
      </c>
      <c r="D246" s="265" t="str">
        <f>VLOOKUP($A246,Questions!$A$3:$X$333,20,0)&amp;""</f>
        <v>Refer to PCI DSS documentation or your institution's treasurer's office.</v>
      </c>
    </row>
    <row r="247" spans="1:5" ht="72" customHeight="1" x14ac:dyDescent="0.2">
      <c r="A247" s="265" t="s">
        <v>287</v>
      </c>
      <c r="B247" s="265" t="str">
        <f>VLOOKUP($A247,Questions!$A$3:$X$333,2,0)&amp;""</f>
        <v>What payment processors/gateways does the system support?</v>
      </c>
      <c r="C247" s="265" t="str">
        <f>VLOOKUP($A247,Questions!$A$3:$X$333,19,0)&amp;""</f>
        <v>PCI DSS</v>
      </c>
      <c r="D247" s="265" t="str">
        <f>VLOOKUP($A247,Questions!$A$3:$X$333,20,0)&amp;""</f>
        <v>Refer to PCI DSS documentation or your institution's treasurer's office.</v>
      </c>
      <c r="E247" s="226"/>
    </row>
    <row r="248" spans="1:5" x14ac:dyDescent="0.2">
      <c r="A248" s="265" t="s">
        <v>288</v>
      </c>
      <c r="B248" s="265" t="str">
        <f>VLOOKUP($A248,Questions!$A$3:$X$333,2,0)&amp;""</f>
        <v>Can the application be installed in a PCI DSS–compliant manner?</v>
      </c>
      <c r="C248" s="265" t="str">
        <f>VLOOKUP($A248,Questions!$A$3:$X$333,19,0)&amp;""</f>
        <v>PCI DSS</v>
      </c>
      <c r="D248" s="265" t="str">
        <f>VLOOKUP($A248,Questions!$A$3:$X$333,20,0)&amp;""</f>
        <v>Refer to PCI DSS documentation or your institution's treasurer's office.</v>
      </c>
      <c r="E248" s="226"/>
    </row>
    <row r="249" spans="1:5" ht="81" customHeight="1" x14ac:dyDescent="0.15">
      <c r="A249" s="265" t="s">
        <v>289</v>
      </c>
      <c r="B249" s="265" t="str">
        <f>VLOOKUP($A249,Questions!$A$3:$X$333,2,0)&amp;""</f>
        <v>Include documentation describing the system's abilities to comply with the PCI DSS and any features or capabilities of the system that must be added or changed in order to operate in compliance with the standards.</v>
      </c>
      <c r="C249" s="265" t="str">
        <f>VLOOKUP($A249,Questions!$A$3:$X$333,19,0)&amp;""</f>
        <v>PCI DSS</v>
      </c>
      <c r="D249" s="265" t="str">
        <f>VLOOKUP($A249,Questions!$A$3:$X$333,20,0)&amp;""</f>
        <v>Refer to PCI DSS documentation or your institution's treasurer's office.</v>
      </c>
      <c r="E249" s="62" t="s">
        <v>503</v>
      </c>
    </row>
    <row r="250" spans="1:5" ht="23" customHeight="1" x14ac:dyDescent="0.2">
      <c r="A250" s="32" t="str">
        <f>VLOOKUP(LEFT($A251,4),'Auto Responses'!$N$4:$O$38,2,0)&amp;""</f>
        <v xml:space="preserve"> On-Premises Data Solutions</v>
      </c>
      <c r="B250" s="32"/>
      <c r="C250" s="264" t="str">
        <f>Questions!$S$2</f>
        <v>Reason for Question</v>
      </c>
      <c r="D250" s="264" t="str">
        <f>Questions!$T$2</f>
        <v>Follow-Up Inquiries/Responses</v>
      </c>
    </row>
    <row r="251" spans="1:5" ht="87" customHeight="1" x14ac:dyDescent="0.2">
      <c r="A251" s="265" t="s">
        <v>290</v>
      </c>
      <c r="B251" s="265" t="str">
        <f>VLOOKUP($A251,Questions!$A$3:$X$333,2,0)&amp;""</f>
        <v>Do you support role-based access control (RBAC) for system administrators?</v>
      </c>
      <c r="C251" s="265"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265"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104" customHeight="1" x14ac:dyDescent="0.2">
      <c r="A252" s="265" t="s">
        <v>291</v>
      </c>
      <c r="B252" s="265" t="str">
        <f>VLOOKUP($A252,Questions!$A$3:$X$333,2,0)&amp;""</f>
        <v>Can your employees access customer systems remotely?</v>
      </c>
      <c r="C252" s="265"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265" t="str">
        <f>VLOOKUP($A252,Questions!$A$3:$X$333,20,0)&amp;""</f>
        <v>Ask the solution provider to summarize the reasoning behind this business process and request additional documentation that outlines the security controls implemented to safeguard institutional data.</v>
      </c>
    </row>
    <row r="253" spans="1:5" ht="81" customHeight="1" x14ac:dyDescent="0.2">
      <c r="A253" s="265" t="s">
        <v>292</v>
      </c>
      <c r="B253" s="265" t="str">
        <f>VLOOKUP($A253,Questions!$A$3:$X$333,2,0)&amp;""</f>
        <v>Can you provide overall system and/or application architecture diagrams including a full description of the data communications architecture for all components of the system?</v>
      </c>
      <c r="C253" s="265" t="str">
        <f>VLOOKUP($A253,Questions!$A$3:$X$333,19,0)&amp;""</f>
        <v>Many systems can be used a variety of ways. We want these implementation type diagrams so that we can understand the "real" use of the solution.</v>
      </c>
      <c r="D253" s="265"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105" customHeight="1" x14ac:dyDescent="0.2">
      <c r="A254" s="265" t="s">
        <v>293</v>
      </c>
      <c r="B254" s="265" t="str">
        <f>VLOOKUP($A254,Questions!$A$3:$X$333,2,0)&amp;""</f>
        <v>Do you require remote management of the system?</v>
      </c>
      <c r="C254" s="265"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265" t="str">
        <f>VLOOKUP($A254,Questions!$A$3:$X$333,20,0)&amp;""</f>
        <v>Ask the solution provider to summarize the reasoning behind this business process and request additional documentation that outlines the security controls implemented to safeguard institutional data.</v>
      </c>
    </row>
    <row r="255" spans="1:5" ht="99" customHeight="1" x14ac:dyDescent="0.15">
      <c r="A255" s="265" t="s">
        <v>294</v>
      </c>
      <c r="B255" s="265" t="str">
        <f>VLOOKUP($A255,Questions!$A$3:$X$333,2,0)&amp;""</f>
        <v>If you answered "yes" to OPEM-04, are your remote actions and changes logged or otherwise visible to the campus?</v>
      </c>
      <c r="C255" s="265"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265" t="str">
        <f>VLOOKUP($A255,Questions!$A$3:$X$333,20,0)&amp;""</f>
        <v>If a weak response is given to this answer, it is appropriate to ask directed answers to get specific information. Ensure that questions are targeted to ensure responses will come from the appropriate party within the solution provider.</v>
      </c>
      <c r="E255" s="62" t="s">
        <v>503</v>
      </c>
    </row>
    <row r="256" spans="1:5" ht="36" customHeight="1" x14ac:dyDescent="0.2">
      <c r="A256" s="265" t="s">
        <v>295</v>
      </c>
      <c r="B256" s="265" t="str">
        <f>VLOOKUP($A256,Questions!$A$3:$X$333,2,0)&amp;""</f>
        <v>If you maintain remote access to the system, will you handle data in a FERPA-compliant manner?</v>
      </c>
      <c r="C256" s="265" t="str">
        <f>VLOOKUP($A256,Questions!$A$3:$X$333,19,0)&amp;""</f>
        <v>This is standard documentation, relevant to institution implementations requiring FERPA compliance.</v>
      </c>
      <c r="D256" s="265" t="str">
        <f>VLOOKUP($A256,Questions!$A$3:$X$333,20,0)&amp;""</f>
        <v>Follow-up inquiries for FERPA compliance details will be institution/implementation specific.</v>
      </c>
    </row>
    <row r="257" spans="1:5" ht="80" customHeight="1" x14ac:dyDescent="0.2">
      <c r="A257" s="265" t="s">
        <v>296</v>
      </c>
      <c r="B257" s="265" t="str">
        <f>VLOOKUP($A257,Questions!$A$3:$X$333,2,0)&amp;""</f>
        <v>Do you support campus status monitoring through SNMPv3 or other means?</v>
      </c>
      <c r="C257" s="265" t="str">
        <f>VLOOKUP($A257,Questions!$A$3:$X$333,19,0)&amp;""</f>
        <v>Standard documentation question. With an on-premise device, the possibility to tie-in with existing monitoring/management systems is beneficial. The solution provider's response should be clear and concise.</v>
      </c>
      <c r="D257" s="265" t="str">
        <f>VLOOKUP($A257,Questions!$A$3:$X$333,20,0)&amp;""</f>
        <v>Follow-up inquiries for monitoring via SNMPv3 will be institution/implementation specific.</v>
      </c>
    </row>
    <row r="258" spans="1:5" ht="78" customHeight="1" x14ac:dyDescent="0.2">
      <c r="A258" s="265" t="s">
        <v>297</v>
      </c>
      <c r="B258" s="265" t="str">
        <f>VLOOKUP($A258,Questions!$A$3:$X$333,2,0)&amp;""</f>
        <v>Describe or provide a reference to any other safeguards used to monitor for malicious activity.</v>
      </c>
      <c r="C258" s="265" t="str">
        <f>VLOOKUP($A258,Questions!$A$3:$X$333,19,0)&amp;""</f>
        <v>This question is primarily focused on system(s) integrity and confidentiality. The solution provider's response should clearly state the system(s) capabilities to properly monitor for (and alert for) malicious activity.</v>
      </c>
      <c r="D258" s="265" t="str">
        <f>VLOOKUP($A258,Questions!$A$3:$X$333,20,0)&amp;""</f>
        <v>Follow-up inquiries for system monitoring will be institution/implementation specific.</v>
      </c>
    </row>
    <row r="259" spans="1:5" ht="69" customHeight="1" x14ac:dyDescent="0.2">
      <c r="A259" s="265" t="s">
        <v>298</v>
      </c>
      <c r="B259" s="265" t="str">
        <f>VLOOKUP($A259,Questions!$A$3:$X$333,2,0)&amp;""</f>
        <v>Describe how long your organization has conducted business in this area.</v>
      </c>
      <c r="C259" s="265" t="str">
        <f>VLOOKUP($A259,Questions!$A$3:$X$333,19,0)&amp;""</f>
        <v>We want to establish longevity of a solution and whether or not a solution provider is new to the higher education space.</v>
      </c>
      <c r="D259" s="265"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row>
    <row r="260" spans="1:5" ht="85" customHeight="1" x14ac:dyDescent="0.15">
      <c r="A260" s="265" t="s">
        <v>299</v>
      </c>
      <c r="B260" s="265" t="str">
        <f>VLOOKUP($A260,Questions!$A$3:$X$333,2,0)&amp;""</f>
        <v>Do you have existing higher education customers?</v>
      </c>
      <c r="C260" s="265"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265" t="str">
        <f>VLOOKUP($A260,Questions!$A$3:$X$333,20,0)&amp;""</f>
        <v>A simple "yes" without any references or supporting information should be questioned. Question the size of institutions that are using the solution and the scope of their implementations.</v>
      </c>
      <c r="E260" s="62" t="s">
        <v>503</v>
      </c>
    </row>
    <row r="261" spans="1:5" ht="23" customHeight="1" x14ac:dyDescent="0.2">
      <c r="A261" s="32" t="str">
        <f>VLOOKUP(LEFT($A262,4),'Auto Responses'!$N$4:$O$38,2,0)&amp;""</f>
        <v xml:space="preserve"> AI Qualifying Questions</v>
      </c>
      <c r="B261" s="32"/>
      <c r="C261" s="264" t="str">
        <f>Questions!$S$2</f>
        <v>Reason for Question</v>
      </c>
      <c r="D261" s="264" t="str">
        <f>Questions!$T$2</f>
        <v>Follow-Up Inquiries/Responses</v>
      </c>
    </row>
    <row r="262" spans="1:5" ht="48" customHeight="1" x14ac:dyDescent="0.2">
      <c r="A262" s="265" t="s">
        <v>301</v>
      </c>
      <c r="B262" s="265" t="str">
        <f>VLOOKUP($A262,Questions!$A$3:$X$333,2,0)&amp;""</f>
        <v>Does your solution leverage machine learning (ML) or do you plan to do so in the next 12 months?</v>
      </c>
      <c r="C262" s="265" t="str">
        <f>VLOOKUP($A262,Questions!$A$3:$X$333,19,0)&amp;""</f>
        <v/>
      </c>
      <c r="D262" s="265" t="str">
        <f>VLOOKUP($A262,Questions!$A$3:$X$333,20,0)&amp;""</f>
        <v/>
      </c>
    </row>
    <row r="263" spans="1:5" ht="51" customHeight="1" x14ac:dyDescent="0.2">
      <c r="A263" s="265" t="s">
        <v>302</v>
      </c>
      <c r="B263" s="265" t="str">
        <f>VLOOKUP($A263,Questions!$A$3:$X$333,2,0)&amp;""</f>
        <v>Does your solution leverage a large language model (LLM) or do you plan to do so in the next 12 months?</v>
      </c>
      <c r="C263" s="265" t="str">
        <f>VLOOKUP($A263,Questions!$A$3:$X$333,19,0)&amp;""</f>
        <v/>
      </c>
      <c r="D263" s="265" t="str">
        <f>VLOOKUP($A263,Questions!$A$3:$X$333,20,0)&amp;""</f>
        <v/>
      </c>
    </row>
    <row r="264" spans="1:5" ht="52" customHeight="1" x14ac:dyDescent="0.15">
      <c r="A264" s="32" t="str">
        <f>VLOOKUP(LEFT($A265,4),'Auto Responses'!$N$4:$O$38,2,0)&amp;""</f>
        <v xml:space="preserve"> General AI Questions</v>
      </c>
      <c r="B264" s="32"/>
      <c r="C264" s="264" t="str">
        <f>Questions!$S$2</f>
        <v>Reason for Question</v>
      </c>
      <c r="D264" s="264" t="str">
        <f>Questions!$T$2</f>
        <v>Follow-Up Inquiries/Responses</v>
      </c>
      <c r="E264" s="62" t="s">
        <v>503</v>
      </c>
    </row>
    <row r="265" spans="1:5" ht="36" customHeight="1" x14ac:dyDescent="0.2">
      <c r="A265" s="265" t="s">
        <v>303</v>
      </c>
      <c r="B265" s="265" t="str">
        <f>VLOOKUP($A265,Questions!$A$3:$X$333,2,0)&amp;""</f>
        <v>Does your solution have an AI risk model when developing or implementing your solution's AI model?*</v>
      </c>
      <c r="C265" s="265" t="str">
        <f>VLOOKUP($A265,Questions!$A$3:$X$333,19,0)&amp;""</f>
        <v>To ensure the vendor has proactive governance and has a defined, documented risk management strategy that is aligned with responsible AI.</v>
      </c>
      <c r="D265" s="265" t="str">
        <f>VLOOKUP($A265,Questions!$A$3:$X$333,20,0)&amp;""</f>
        <v>Can the AI risk model or framework in use be shared? How often is it reviewed and updated? If an AI framework is not in use, what practices are currently used to address AI risks?</v>
      </c>
    </row>
    <row r="266" spans="1:5" ht="67" customHeight="1" x14ac:dyDescent="0.2">
      <c r="A266" s="265" t="s">
        <v>304</v>
      </c>
      <c r="B266" s="265" t="str">
        <f>VLOOKUP($A266,Questions!$A$3:$X$333,2,0)&amp;""</f>
        <v>Can your solution's AI features be disabled by tenant and/or user?*</v>
      </c>
      <c r="C266" s="265" t="str">
        <f>VLOOKUP($A266,Questions!$A$3:$X$333,19,0)&amp;""</f>
        <v>To verify whether customers have control over AI features and can opt out when AI is not desired or creates compliance concerns.</v>
      </c>
      <c r="D266" s="265" t="str">
        <f>VLOOKUP($A266,Questions!$A$3:$X$333,20,0)&amp;""</f>
        <v>How easy is it to disable/enable AI features?</v>
      </c>
    </row>
    <row r="267" spans="1:5" ht="81" customHeight="1" x14ac:dyDescent="0.15">
      <c r="A267" s="265" t="s">
        <v>305</v>
      </c>
      <c r="B267" s="265" t="str">
        <f>VLOOKUP($A267,Questions!$A$3:$X$333,2,0)&amp;""</f>
        <v>Have your staff completed responsible AI training?*</v>
      </c>
      <c r="C267" s="265" t="str">
        <f>VLOOKUP($A267,Questions!$A$3:$X$333,19,0)&amp;""</f>
        <v>To confirm that staff are educated on ethical AI principles, data stewardship, bias mitigation, and compliance, ensuring responsible use and support for customers.</v>
      </c>
      <c r="D267" s="265" t="str">
        <f>VLOOKUP($A267,Questions!$A$3:$X$333,20,0)&amp;""</f>
        <v>Clarify the structure and enforcement of training supports transparency and accountability in AI-related operations.</v>
      </c>
      <c r="E267" s="62" t="s">
        <v>503</v>
      </c>
    </row>
    <row r="268" spans="1:5" ht="54" customHeight="1" x14ac:dyDescent="0.2">
      <c r="A268" s="265" t="s">
        <v>306</v>
      </c>
      <c r="B268" s="265" t="str">
        <f>VLOOKUP($A268,Questions!$A$3:$X$333,2,0)&amp;""</f>
        <v>Please describe the capabilities of your solution's AI features.</v>
      </c>
      <c r="C268" s="265" t="str">
        <f>VLOOKUP($A268,Questions!$A$3:$X$333,19,0)&amp;""</f>
        <v>To help institutions understand the scope, functionality, and intended use cases of the AI feature(s) and evaluate whether its capabilities align with institutional needs and risk tolerance.</v>
      </c>
      <c r="D268" s="265" t="str">
        <f>VLOOKUP($A268,Questions!$A$3:$X$333,20,0)&amp;""</f>
        <v>Can documentation of supported AI functions, limitations, and safeguards be provided?</v>
      </c>
    </row>
    <row r="269" spans="1:5" ht="52" customHeight="1" x14ac:dyDescent="0.2">
      <c r="A269" s="265" t="s">
        <v>307</v>
      </c>
      <c r="B269" s="265" t="str">
        <f>VLOOKUP($A269,Questions!$A$3:$X$333,2,0)&amp;""</f>
        <v>Does your solution support business rules to protect sensitive data from being ingested by the AI model?</v>
      </c>
      <c r="C269" s="265" t="str">
        <f>VLOOKUP($A269,Questions!$A$3:$X$333,19,0)&amp;""</f>
        <v>To determine the risk of sensitive data exposure from AI feature inputs and outputs.</v>
      </c>
      <c r="D269" s="265" t="str">
        <f>VLOOKUP($A269,Questions!$A$3:$X$333,20,0)&amp;""</f>
        <v>Can you provide examples of data loss prevention (DLP) features? Where are these DLP solutions implemented? Are these DLP features customizable?</v>
      </c>
    </row>
    <row r="270" spans="1:5" ht="51" customHeight="1" x14ac:dyDescent="0.15">
      <c r="A270" s="32" t="str">
        <f>VLOOKUP(LEFT($A271,4),'Auto Responses'!$N$4:$O$38,2,0)&amp;""</f>
        <v xml:space="preserve"> AI Policy</v>
      </c>
      <c r="B270" s="32"/>
      <c r="C270" s="264" t="str">
        <f>Questions!$S$2</f>
        <v>Reason for Question</v>
      </c>
      <c r="D270" s="264" t="str">
        <f>Questions!$T$2</f>
        <v>Follow-Up Inquiries/Responses</v>
      </c>
      <c r="E270" s="62" t="s">
        <v>503</v>
      </c>
    </row>
    <row r="271" spans="1:5" ht="72" customHeight="1" x14ac:dyDescent="0.2">
      <c r="A271" s="265" t="s">
        <v>308</v>
      </c>
      <c r="B271" s="265" t="str">
        <f>VLOOKUP($A271,Questions!$A$3:$X$333,2,0)&amp;""</f>
        <v>Are your AI developer's policies, processes, procedures, and practices across the organization related to the mapping, measuring, and managing of AI risks conspicuously posted, unambiguous, and implemented effectively?*</v>
      </c>
      <c r="C271" s="265" t="str">
        <f>VLOOKUP($A271,Questions!$A$3:$X$333,19,0)&amp;""</f>
        <v>To ensure that the vendor has established a mature AI governance framework, is prepared to manage the complex and evolving risks of AI, and is not likely to transfer that risk directly to customers.</v>
      </c>
      <c r="D271" s="265" t="str">
        <f>VLOOKUP($A271,Questions!$A$3:$X$333,20,0)&amp;""</f>
        <v>Given that a lack of formal governance can expose our institution to significant legal and reputational risks, how can you assure us that partnering with you will not transfer these liabilities to our organization?</v>
      </c>
    </row>
    <row r="272" spans="1:5" ht="75" customHeight="1" x14ac:dyDescent="0.2">
      <c r="A272" s="265" t="s">
        <v>309</v>
      </c>
      <c r="B272" s="265" t="str">
        <f>VLOOKUP($A272,Questions!$A$3:$X$333,2,0)&amp;""</f>
        <v>Have you identified and measured AI risks?*</v>
      </c>
      <c r="C272" s="265" t="str">
        <f>VLOOKUP($A272,Questions!$A$3:$X$333,19,0)&amp;""</f>
        <v>To help an organization verify that the vendor has a mature, proactive risk management framework in place, which is essential to protect the organization from the legal, financial, and reputational liabilities that can arise from a poorly governed AI system.</v>
      </c>
      <c r="D272" s="265" t="str">
        <f>VLOOKUP($A272,Questions!$A$3:$X$333,20,0)&amp;""</f>
        <v>Can you provide a list of moderate and high AI-specific risks? Can you explain how your company would handle the legal, reputational, and financial liabilities that our organization would face in the event your AI causes a significant incident, such as a privacy breach or an ethical failure?</v>
      </c>
    </row>
    <row r="273" spans="1:5" ht="91" customHeight="1" x14ac:dyDescent="0.2">
      <c r="A273" s="265" t="s">
        <v>310</v>
      </c>
      <c r="B273" s="265" t="str">
        <f>VLOOKUP($A273,Questions!$A$3:$X$333,2,0)&amp;""</f>
        <v>In the event of an incident, can your solution's AI features be disabled in a timely manner?*</v>
      </c>
      <c r="C273" s="265" t="str">
        <f>VLOOKUP($A273,Questions!$A$3:$X$333,19,0)&amp;""</f>
        <v>The ability to disable/enable AI features is essential for containing an incident and preventing a security or ethical failure.</v>
      </c>
      <c r="D273" s="265" t="str">
        <f>VLOOKUP($A273,Questions!$A$3:$X$333,20,0)&amp;""</f>
        <v>Given the critical need for a timely incident response, what is your specific, documented procedure for disabling the AI features; who is authorized to execute it; and can you provide a service level agreement (SLA) or a documented timeline for this process? Does disabling AI features require action by the vendor?</v>
      </c>
    </row>
    <row r="274" spans="1:5" ht="67" customHeight="1" x14ac:dyDescent="0.2">
      <c r="A274" s="265" t="s">
        <v>311</v>
      </c>
      <c r="B274" s="265" t="str">
        <f>VLOOKUP($A274,Questions!$A$3:$X$333,2,0)&amp;""</f>
        <v>If disabled because of an incident, can your solution's AI features be re-enabled in a timely manner?*</v>
      </c>
      <c r="C274" s="265" t="str">
        <f>VLOOKUP($A274,Questions!$A$3:$X$333,19,0)&amp;""</f>
        <v>This helps an organization create a business continuity plan and incident recovery plan.</v>
      </c>
      <c r="D274" s="265" t="str">
        <f>VLOOKUP($A274,Questions!$A$3:$X$333,20,0)&amp;""</f>
        <v/>
      </c>
    </row>
    <row r="275" spans="1:5" ht="87" customHeight="1" x14ac:dyDescent="0.2">
      <c r="A275" s="265" t="s">
        <v>312</v>
      </c>
      <c r="B275" s="265" t="str">
        <f>VLOOKUP($A275,Questions!$A$3:$X$333,2,0)&amp;""</f>
        <v>Do you have documented technical and procedural processes to address potential negative impacts of AI as described by the AI Risk Management Framework (RMF)?</v>
      </c>
      <c r="C275" s="265" t="str">
        <f>VLOOKUP($A275,Questions!$A$3:$X$333,19,0)&amp;""</f>
        <v>This question helps maximize the value of the AI feature(s) while minimizing the negative impacts of AI.</v>
      </c>
      <c r="D275" s="265" t="str">
        <f>VLOOKUP($A275,Questions!$A$3:$X$333,20,0)&amp;""</f>
        <v>Are resources that are required to manage risks taken into account? Are mechanisms in place and applied to sustain the value of the deployed AI system? Are mechanisms in place and applied to supersede, disengage, or deactivate AI systems that demonstrate performance or outcomes inconsistent with the intended use?</v>
      </c>
    </row>
    <row r="276" spans="1:5" s="265" customFormat="1" ht="25" customHeight="1" x14ac:dyDescent="0.2">
      <c r="A276" s="32" t="str">
        <f>VLOOKUP(LEFT($A277,4),'Auto Responses'!$N$4:$O$38,2,0)&amp;""</f>
        <v xml:space="preserve"> AI Data Security</v>
      </c>
      <c r="B276" s="32"/>
      <c r="C276" s="264" t="str">
        <f>Questions!$S$2</f>
        <v>Reason for Question</v>
      </c>
      <c r="D276" s="264" t="str">
        <f>Questions!$T$2</f>
        <v>Follow-Up Inquiries/Responses</v>
      </c>
    </row>
    <row r="277" spans="1:5" s="265" customFormat="1" ht="90" customHeight="1" x14ac:dyDescent="0.2">
      <c r="A277" s="265" t="s">
        <v>313</v>
      </c>
      <c r="B277" s="265" t="str">
        <f>VLOOKUP($A277,Questions!$A$3:$X$333,2,0)&amp;""</f>
        <v>If sensitive data is introduced to your solution's AI model, can the data be removed from the AI model by request?*</v>
      </c>
      <c r="C277" s="265" t="str">
        <f>VLOOKUP($A277,Questions!$A$3:$X$333,19,0)&amp;""</f>
        <v>This question assesses whether the vendor can remove sensitive data from its AI model upon request. This capability is essential for privacy compliance, including GDPR (Right to Erasure), FERPA, and state data protection laws, and it helps institutions ensure that their data is not retained or used beyond its intended purpose</v>
      </c>
      <c r="D277" s="265" t="str">
        <f>VLOOKUP($A277,Questions!$A$3:$X$333,20,0)&amp;""</f>
        <v>If the vendor does not support data deletion or provides an unclear response, the institution should follow up to determine how the vendor identifies, manages, and minimizes exposure of sensitive data within its AI systems. Ask for documentation or clarification on any compensating controls (e.g., data filtering, temporary memory use), data retention practices, limitations preventing deletion, and whether future support for deletion or unlearning is planned.</v>
      </c>
    </row>
    <row r="278" spans="1:5" ht="90" customHeight="1" x14ac:dyDescent="0.2">
      <c r="A278" s="265" t="s">
        <v>314</v>
      </c>
      <c r="B278" s="265" t="str">
        <f>VLOOKUP($A278,Questions!$A$3:$X$333,2,0)&amp;""</f>
        <v>Is user input data used to influence your solution's AI model?*</v>
      </c>
      <c r="C278" s="265" t="str">
        <f>VLOOKUP($A278,Questions!$A$3:$X$333,19,0)&amp;""</f>
        <v>This question helps institutions determine whether their input data is used to train or influence the vendor’s AI model. Understanding this protects institutional data from unauthorized reuse, supports compliance with privacy and data protection laws, and ensures that any future change to data use would require institutional consent.</v>
      </c>
      <c r="D278" s="265" t="str">
        <f>VLOOKUP($A278,Questions!$A$3:$X$333,20,0)&amp;""</f>
        <v>If the vendor’s response is unclear or incomplete, the institution should ask whether user input data is retained in any form (e.g., logs, embeddings, temporary memory) and how long it is stored. Confirm whether the vendor’s data sharing or processing agreement explicitly prohibits the use of institutional data for model training. If the vendor does use user input for model influence, request details on anonymization, opt-out mechanisms, and notification procedures for future changes.</v>
      </c>
    </row>
    <row r="279" spans="1:5" ht="72" customHeight="1" x14ac:dyDescent="0.15">
      <c r="A279" s="265" t="s">
        <v>315</v>
      </c>
      <c r="B279" s="265" t="str">
        <f>VLOOKUP($A279,Questions!$A$3:$X$333,2,0)&amp;""</f>
        <v>Do you provide logging for your solution's AI feature(s) that includes user, date, and action taken?*</v>
      </c>
      <c r="C279" s="265" t="str">
        <f>VLOOKUP($A279,Questions!$A$3:$X$333,19,0)&amp;""</f>
        <v>This question helps institutions confirm whether AI features can be audited for user activity, data use, and system behavior. Audit logging supports regulatory compliance, incident response, and transparency in environments handling sensitive or regulated data.</v>
      </c>
      <c r="D279" s="265" t="str">
        <f>VLOOKUP($A279,Questions!$A$3:$X$333,20,0)&amp;""</f>
        <v>If the vendor’s response is incomplete, the institution should confirm whether logs are segmented by AI feature, whether log data is reviewed or integrated into the vendor’s Security Operations Center processes, and how long logs are retained. Institutions should also verify whether logs are available for institutional review or external audit when required.</v>
      </c>
      <c r="E279" s="62" t="s">
        <v>503</v>
      </c>
    </row>
    <row r="280" spans="1:5" ht="72" customHeight="1" x14ac:dyDescent="0.2">
      <c r="A280" s="265" t="s">
        <v>316</v>
      </c>
      <c r="B280" s="265" t="str">
        <f>VLOOKUP($A280,Questions!$A$3:$X$333,2,0)&amp;""</f>
        <v>Please describe how you validate user inputs.</v>
      </c>
      <c r="C280" s="265" t="str">
        <f>VLOOKUP($A280,Questions!$A$3:$X$333,19,0)&amp;""</f>
        <v>This question helps institutions assess whether the solution protects against anomalous, malicious, or sensitive inputs that could compromise AI features. Input validation supports data integrity, incident prevention, and compliance with FERPA, GDPR, and state privacy and cybersecurity laws.</v>
      </c>
      <c r="D280" s="265" t="str">
        <f>VLOOKUP($A280,Questions!$A$3:$X$333,20,0)&amp;""</f>
        <v>If the vendor’s response is unclear, the institution should ask how anomalous or malicious inputs are detected, whether sensitive data is filtered, and where validation occurs (client-side, server-side, or within the AI model). Institutions may also request details on alerting, logging, and safeguards such as rate limiting or input sanitization.</v>
      </c>
    </row>
    <row r="281" spans="1:5" ht="90" customHeight="1" x14ac:dyDescent="0.2">
      <c r="A281" s="265" t="s">
        <v>317</v>
      </c>
      <c r="B281" s="265" t="str">
        <f>VLOOKUP($A281,Questions!$A$3:$X$333,2,0)&amp;""</f>
        <v>Do you plan for and mitigate supply-chain risk related to your AI features?</v>
      </c>
      <c r="C281" s="265" t="str">
        <f>VLOOKUP($A281,Questions!$A$3:$X$333,19,0)&amp;""</f>
        <v>This question helps institutions assess whether vendors manage supply chain risks in their AI features, which often rely on third-party models, libraries, and APIs. Institutions need assurance that vendors use practices such as SAST, SBOM, and ongoing monitoring to address vulnerabilities, while aligning with frameworks such as NIST AI RMF, NIST CSF, and Executive Order 14028.</v>
      </c>
      <c r="D281" s="265" t="str">
        <f>VLOOKUP($A281,Questions!$A$3:$X$333,20,0)&amp;""</f>
        <v>If the vendor’s response is unclear, the institution should ask whether an SBOM is maintained for AI components, how often third-party models and libraries are reviewed for vulnerabilities, and whether SAST or other testing is performed. Institutions may also confirm whether the vendor’s practices align with NIST AI RMF, NIST CSF, or Executive Order 14028 requirements.</v>
      </c>
    </row>
    <row r="282" spans="1:5" ht="49" customHeight="1" x14ac:dyDescent="0.2">
      <c r="A282" s="32" t="str">
        <f>VLOOKUP(LEFT($A283,4),'Auto Responses'!$N$4:$O$38,2,0)&amp;""</f>
        <v xml:space="preserve"> AI Machine Learning</v>
      </c>
      <c r="B282" s="32"/>
      <c r="C282" s="264" t="str">
        <f>Questions!$S$2</f>
        <v>Reason for Question</v>
      </c>
      <c r="D282" s="264" t="str">
        <f>Questions!$T$2</f>
        <v>Follow-Up Inquiries/Responses</v>
      </c>
    </row>
    <row r="283" spans="1:5" ht="126" customHeight="1" x14ac:dyDescent="0.2">
      <c r="A283" s="265" t="s">
        <v>318</v>
      </c>
      <c r="B283" s="265" t="str">
        <f>VLOOKUP($A283,Questions!$A$3:$X$333,2,0)&amp;""</f>
        <v>Do you separate ML training data from your ML solution data?*</v>
      </c>
      <c r="C283" s="265" t="str">
        <f>VLOOKUP($A283,Questions!$A$3:$X$333,19,0)&amp;""</f>
        <v>This question helps institutions determine whether operational data provided through the solution is kept separate from machine learning training data. Without this separation, institutional data could be inadvertently incorporated into global or shared models, creating risks of data leakage, misuse, or exposure to other customers. Ensuring separation also supports compliance with privacy and security requirements under FERPA, GDPR, and state data protection laws and gives institutions control over whether their data may be used for training or model improvement.</v>
      </c>
      <c r="D283" s="265" t="str">
        <f>VLOOKUP($A283,Questions!$A$3:$X$333,20,0)&amp;""</f>
        <v>If the vendor’s response is unclear, the institution should ask how data is flagged or excluded from training, whether customer data is ever used in shared/global models, and what opt-out mechanisms are available. Institutions may also request details on data environments used for training versus production.</v>
      </c>
    </row>
    <row r="284" spans="1:5" ht="54" customHeight="1" x14ac:dyDescent="0.2">
      <c r="A284" s="265" t="s">
        <v>319</v>
      </c>
      <c r="B284" s="265" t="str">
        <f>VLOOKUP($A284,Questions!$A$3:$X$333,2,0)&amp;""</f>
        <v>Do you authenticate and verify your ML model's feedback?*</v>
      </c>
      <c r="C284" s="265" t="str">
        <f>VLOOKUP($A284,Questions!$A$3:$X$333,19,0)&amp;""</f>
        <v>Verifying ML model feedback helps prevent skewing attacks that could distort predictions or reduce reliability.</v>
      </c>
      <c r="D284" s="265" t="str">
        <f>VLOOKUP($A284,Questions!$A$3:$X$333,20,0)&amp;""</f>
        <v>Understand whether any other controls or processes are in place that would mitigate the risk of the vendor not doing the authentication or verification. How does the vendor perform trigger-sweep evaluations?</v>
      </c>
    </row>
    <row r="285" spans="1:5" ht="36" customHeight="1" x14ac:dyDescent="0.2">
      <c r="A285" s="265" t="s">
        <v>320</v>
      </c>
      <c r="B285" s="265" t="str">
        <f>VLOOKUP($A285,Questions!$A$3:$X$333,2,0)&amp;""</f>
        <v>Is your ML training data vetted, validated, and verified before training the solution's AI model?</v>
      </c>
      <c r="C285" s="265" t="str">
        <f>VLOOKUP($A285,Questions!$A$3:$X$333,19,0)&amp;""</f>
        <v>This process can reduce the risk of errors or bias, as well as poor data quality undermining the model's accuracy and integrity.</v>
      </c>
      <c r="D285" s="265" t="str">
        <f>VLOOKUP($A285,Questions!$A$3:$X$333,20,0)&amp;""</f>
        <v>What other controls are in place as a substitute to this process? If not all steps are complete, what part of the process is currently being done?</v>
      </c>
    </row>
    <row r="286" spans="1:5" ht="72" customHeight="1" x14ac:dyDescent="0.2">
      <c r="A286" s="265" t="s">
        <v>321</v>
      </c>
      <c r="B286" s="265" t="str">
        <f>VLOOKUP($A286,Questions!$A$3:$X$333,2,0)&amp;""</f>
        <v>Is your ML training data monitored and audited?</v>
      </c>
      <c r="C286" s="265" t="str">
        <f>VLOOKUP($A286,Questions!$A$3:$X$333,19,0)&amp;""</f>
        <v>Training data can be targeted by attackers to influence the ML model’s behavior in harmful ways.</v>
      </c>
      <c r="D286" s="265" t="str">
        <f>VLOOKUP($A286,Questions!$A$3:$X$333,20,0)&amp;""</f>
        <v>Understand whether any other controls or processes are in place that would mitigate the risk of training data being manipulated by attackers? Do you audit for trojan/backdoor patterns? How do you protect against malicious code injection when using this ML tool for coding? Are trend, alerts flag, rare-token spikes monitored?</v>
      </c>
    </row>
    <row r="287" spans="1:5" ht="36" customHeight="1" x14ac:dyDescent="0.2">
      <c r="A287" s="265" t="s">
        <v>322</v>
      </c>
      <c r="B287" s="265" t="str">
        <f>VLOOKUP($A287,Questions!$A$3:$X$333,2,0)&amp;""</f>
        <v>Have you limited access to your ML training data to only staff with an explicit business need?</v>
      </c>
      <c r="C287" s="265" t="str">
        <f>VLOOKUP($A287,Questions!$A$3:$X$333,19,0)&amp;""</f>
        <v>Training data can be targeted by attackers to influence the ML model’s behavior in harmful ways.</v>
      </c>
      <c r="D287" s="265" t="str">
        <f>VLOOKUP($A287,Questions!$A$3:$X$333,20,0)&amp;""</f>
        <v/>
      </c>
    </row>
    <row r="288" spans="1:5" ht="48" customHeight="1" x14ac:dyDescent="0.2">
      <c r="A288" s="265" t="s">
        <v>323</v>
      </c>
      <c r="B288" s="265" t="str">
        <f>VLOOKUP($A288,Questions!$A$3:$X$333,2,0)&amp;""</f>
        <v>Have you implemented adversarial training or other model defense mechanisms to protect your ML-related features?</v>
      </c>
      <c r="C288" s="265" t="str">
        <f>VLOOKUP($A288,Questions!$A$3:$X$333,19,0)&amp;""</f>
        <v>Adversarial training and defenses help keep models resilient against manipulation and evasion attacks.</v>
      </c>
      <c r="D288" s="265" t="str">
        <f>VLOOKUP($A288,Questions!$A$3:$X$333,20,0)&amp;""</f>
        <v>What adversarial training is performed on the ML? What defense mechanisms are incorporated into the ML? How is the input validated for the ML?</v>
      </c>
    </row>
    <row r="289" spans="1:5" ht="78" customHeight="1" x14ac:dyDescent="0.2">
      <c r="A289" s="265" t="s">
        <v>324</v>
      </c>
      <c r="B289" s="265" t="str">
        <f>VLOOKUP($A289,Questions!$A$3:$X$333,2,0)&amp;""</f>
        <v>Do you make your ML model transparent through documentation and log inputs and outputs?</v>
      </c>
      <c r="C289" s="265" t="str">
        <f>VLOOKUP($A289,Questions!$A$3:$X$333,19,0)&amp;""</f>
        <v>This process helps ensure accountability and detect misuse or anomalies.</v>
      </c>
      <c r="D289" s="265" t="str">
        <f>VLOOKUP($A289,Questions!$A$3:$X$333,20,0)&amp;""</f>
        <v>How long are input/output logs retained, and how is log data protected? How often are transparency and logging processes reviewed or updated? Do logs enable post-hoc trigger correlation?</v>
      </c>
    </row>
    <row r="290" spans="1:5" ht="64" customHeight="1" x14ac:dyDescent="0.2">
      <c r="A290" s="265" t="s">
        <v>325</v>
      </c>
      <c r="B290" s="265" t="str">
        <f>VLOOKUP($A290,Questions!$A$3:$X$333,2,0)&amp;""</f>
        <v>Do you watermark your ML training data?</v>
      </c>
      <c r="C290" s="265" t="str">
        <f>VLOOKUP($A290,Questions!$A$3:$X$333,19,0)&amp;""</f>
        <v>Watermarking training data supports traceability, making it easier to detect misuse and respond to incidents.</v>
      </c>
      <c r="D290" s="265" t="str">
        <f>VLOOKUP($A290,Questions!$A$3:$X$333,20,0)&amp;""</f>
        <v>Are all training datasets watermarked, or only specific subsets? Are there any policies, procedures, or controls in place that would serve as substitutes or compensating measures for this practice?</v>
      </c>
    </row>
    <row r="291" spans="1:5" ht="52" customHeight="1" x14ac:dyDescent="0.2">
      <c r="A291" s="32" t="str">
        <f>VLOOKUP(LEFT($A292,4),'Auto Responses'!$N$4:$O$38,2,0)&amp;""</f>
        <v xml:space="preserve"> AI Large Language Model (LLM)</v>
      </c>
      <c r="B291" s="32"/>
      <c r="C291" s="264" t="str">
        <f>Questions!$S$2</f>
        <v>Reason for Question</v>
      </c>
      <c r="D291" s="264" t="str">
        <f>Questions!$T$2</f>
        <v>Follow-Up Inquiries/Responses</v>
      </c>
    </row>
    <row r="292" spans="1:5" ht="54" customHeight="1" x14ac:dyDescent="0.2">
      <c r="A292" s="265" t="s">
        <v>326</v>
      </c>
      <c r="B292" s="265" t="str">
        <f>VLOOKUP($A292,Questions!$A$3:$X$333,2,0)&amp;""</f>
        <v>Do you limit your solution's LLM privileges by default?*</v>
      </c>
      <c r="C292" s="265" t="str">
        <f>VLOOKUP($A292,Questions!$A$3:$X$333,19,0)&amp;""</f>
        <v>This question addresses misuse, exfiltration/change risk, and over-privileged behavior. It supports accountable operations and auditability.</v>
      </c>
      <c r="D292" s="265" t="str">
        <f>VLOOKUP($A292,Questions!$A$3:$X$333,20,0)&amp;""</f>
        <v>Is the LLM's API token unique? How do you segregate external content from user prompts? Do you manually monitor LLM input and output periodically?</v>
      </c>
    </row>
    <row r="293" spans="1:5" ht="72" customHeight="1" x14ac:dyDescent="0.15">
      <c r="A293" s="265" t="s">
        <v>327</v>
      </c>
      <c r="B293" s="265" t="str">
        <f>VLOOKUP($A293,Questions!$A$3:$X$333,2,0)&amp;""</f>
        <v>Is your LLM training data vetted, validated, and verified before training the solution's AI model?*</v>
      </c>
      <c r="C293" s="265" t="str">
        <f>VLOOKUP($A293,Questions!$A$3:$X$333,19,0)&amp;""</f>
        <v>Assures lawful, ethical, and auditable data use while reducing IP and privacy risk. This is key to trustworthy AI and effective audits.</v>
      </c>
      <c r="D293" s="265" t="str">
        <f>VLOOKUP($A293,Questions!$A$3:$X$333,20,0)&amp;""</f>
        <v>Request a dataset register with provenance records, license documentation, and change-control history. Request sample outputs of PII scrubbing/anonymization processes, results of bias/safety evaluations, and records of dataset refresh or retirement events.</v>
      </c>
      <c r="E293" s="62" t="s">
        <v>503</v>
      </c>
    </row>
    <row r="294" spans="1:5" ht="85" customHeight="1" x14ac:dyDescent="0.2">
      <c r="A294" s="265" t="s">
        <v>328</v>
      </c>
      <c r="B294" s="265" t="str">
        <f>VLOOKUP($A294,Questions!$A$3:$X$333,2,0)&amp;""</f>
        <v>Do any actions taken by your solution's LLM features or plugins require human intervention?*</v>
      </c>
      <c r="C294" s="265" t="str">
        <f>VLOOKUP($A294,Questions!$A$3:$X$333,19,0)&amp;""</f>
        <v>Prevents autonomous risky actions or misconfigurations and enforces accountability. This limits excessive agency.</v>
      </c>
      <c r="D294" s="265" t="str">
        <f>VLOOKUP($A294,Questions!$A$3:$X$333,20,0)&amp;""</f>
        <v>Ask which actions the LLM can trigger, what approvals are required, and how approvals are logged. Request RBAC matrices showing approver roles, sample approval/denial tickets, and audit logs of LLM-initiated actions with human overrides. Request rollback playbooks, incident reports of missteps caught by HITL, and evidence of periodic control testing.</v>
      </c>
    </row>
    <row r="295" spans="1:5" ht="70" customHeight="1" x14ac:dyDescent="0.2">
      <c r="A295" s="265" t="s">
        <v>329</v>
      </c>
      <c r="B295" s="265" t="str">
        <f>VLOOKUP($A295,Questions!$A$3:$X$333,2,0)&amp;""</f>
        <v>Do you limit multiple LLM model plugins being called as part of a single input?*</v>
      </c>
      <c r="C295" s="265" t="str">
        <f>VLOOKUP($A295,Questions!$A$3:$X$333,19,0)&amp;""</f>
        <v>Reduces supply-chain and prompt-injection risk, controls attack surface, and clarifies accountability. Aligns with governance expectations.</v>
      </c>
      <c r="D295" s="265" t="str">
        <f>VLOOKUP($A295,Questions!$A$3:$X$333,20,0)&amp;""</f>
        <v>Request a list of all plugins/tools callable by the LLM and the allow-listing criteria/review cadence. Ask for the validation approach, sandbox/egress rules, and test evidence.</v>
      </c>
    </row>
    <row r="296" spans="1:5" ht="104" customHeight="1" x14ac:dyDescent="0.2">
      <c r="A296" s="265" t="s">
        <v>330</v>
      </c>
      <c r="B296" s="265" t="str">
        <f>VLOOKUP($A296,Questions!$A$3:$X$333,2,0)&amp;""</f>
        <v>Do you limit your solution's LLM resource use per request, per step, and per action?</v>
      </c>
      <c r="C296" s="265" t="str">
        <f>VLOOKUP($A296,Questions!$A$3:$X$333,19,0)&amp;""</f>
        <v>Prevents denial-of-service and cost overruns from excessive or malicious consumption. Demonstrates managed, measurable operations.</v>
      </c>
      <c r="D296" s="265" t="str">
        <f>VLOOKUP($A296,Questions!$A$3:$X$333,20,0)&amp;""</f>
        <v>Request current default versus maximum token/CPU/memory quotas per tenant, monitoring dashboards of usage, and alerts or incidents where throttling was triggered. Ask about runbooks for resource spikes, evidence of recent resource reviews, and escalation paths.</v>
      </c>
    </row>
    <row r="297" spans="1:5" ht="83" customHeight="1" x14ac:dyDescent="0.2">
      <c r="A297" s="265" t="s">
        <v>331</v>
      </c>
      <c r="B297" s="265" t="str">
        <f>VLOOKUP($A297,Questions!$A$3:$X$333,2,0)&amp;""</f>
        <v>Do you leverage LLM model tuning or other model validation mechanisms?</v>
      </c>
      <c r="C297" s="265" t="str">
        <f>VLOOKUP($A297,Questions!$A$3:$X$333,19,0)&amp;""</f>
        <v>Mitigates hallucinations and ensures decisions rely on verifiable information. Supports trustworthy outcomes and reduces downstream misuse.</v>
      </c>
      <c r="D297" s="265" t="str">
        <f>VLOOKUP($A297,Questions!$A$3:$X$333,20,0)&amp;""</f>
        <v>Request benchmark and evaluation results with acceptance thresholds, along with logs or reports from fact-checking pipelines, retrieval-augmented validation, or citation verification. Include any red-team or adversarial testing results, records of human review for high-risk outputs, and the release gating criteria tied to evaluation outcomes.</v>
      </c>
    </row>
    <row r="298" spans="1:5" ht="55" customHeight="1" x14ac:dyDescent="0.2">
      <c r="A298" s="265" t="s">
        <v>392</v>
      </c>
      <c r="B298" s="265" t="str">
        <f>VLOOKUP($A298,Questions!$A$3:$X$333,2,0)&amp;""</f>
        <v>Will data be collected from or processed in or stored in China?</v>
      </c>
      <c r="C298" s="265" t="str">
        <f>VLOOKUP($A298,Questions!$A$3:$X$333,19,0)&amp;""</f>
        <v>Understanding whether the vendor processes data in China may help with institutional PIPL compliance.</v>
      </c>
      <c r="D298" s="265" t="str">
        <f>VLOOKUP($A298,Questions!$A$3:$X$333,20,0)&amp;""</f>
        <v>If institution's intended use includes targeting of data subjects in China and if vendor marks "no," institution might want to follow up to clarify data collected.</v>
      </c>
    </row>
    <row r="299" spans="1:5" ht="46" customHeight="1" x14ac:dyDescent="0.15">
      <c r="A299" s="265" t="s">
        <v>393</v>
      </c>
      <c r="B299" s="265" t="str">
        <f>VLOOKUP($A299,Questions!$A$3:$X$333,2,0)&amp;""</f>
        <v>Do you comply with PIPL security, privacy, and data localization requirements?</v>
      </c>
      <c r="C299" s="265" t="str">
        <f>VLOOKUP($A299,Questions!$A$3:$X$333,19,0)&amp;""</f>
        <v>Vendors targeting services in China should have the ability to comply with PIPL requirements.</v>
      </c>
      <c r="D299" s="265" t="str">
        <f>VLOOKUP($A299,Questions!$A$3:$X$333,20,0)&amp;""</f>
        <v/>
      </c>
      <c r="E299" s="62" t="s">
        <v>503</v>
      </c>
    </row>
    <row r="300" spans="1:5" ht="23" customHeight="1" x14ac:dyDescent="0.2">
      <c r="A300" s="32" t="str">
        <f>VLOOKUP(LEFT($A301,4),'Auto Responses'!$N$4:$O$38,2,0)&amp;""</f>
        <v xml:space="preserve"> General Privacy</v>
      </c>
      <c r="B300" s="32"/>
      <c r="C300" s="264" t="str">
        <f>Questions!$S$2</f>
        <v>Reason for Question</v>
      </c>
      <c r="D300" s="264" t="str">
        <f>Questions!$T$2</f>
        <v>Follow-Up Inquiries/Responses</v>
      </c>
    </row>
    <row r="301" spans="1:5" ht="36" customHeight="1" x14ac:dyDescent="0.2">
      <c r="A301" s="265" t="s">
        <v>334</v>
      </c>
      <c r="B301" s="265" t="str">
        <f>VLOOKUP($A301,Questions!$A$3:$X$333,2,0)&amp;""</f>
        <v>Does your solution process FERPA-related data?</v>
      </c>
      <c r="C301" s="265" t="str">
        <f>VLOOKUP($A301,Questions!$A$3:$X$333,19,0)&amp;""</f>
        <v>This question will help the institution gain an understanding of the types of data processed by this product or service.</v>
      </c>
      <c r="D301" s="265" t="str">
        <f>VLOOKUP($A301,Questions!$A$3:$X$333,20,0)&amp;""</f>
        <v>Will data be re-disclosed and/or used for any purpose other than directly providing the service, including quality assurance or marketing?</v>
      </c>
    </row>
    <row r="302" spans="1:5" ht="36" customHeight="1" x14ac:dyDescent="0.2">
      <c r="A302" s="265" t="s">
        <v>336</v>
      </c>
      <c r="B302" s="265" t="str">
        <f>VLOOKUP($A302,Questions!$A$3:$X$333,2,0)&amp;""</f>
        <v>Does your solution process GDPR-related or PIPL-related data?</v>
      </c>
      <c r="C302" s="265" t="str">
        <f>VLOOKUP($A302,Questions!$A$3:$X$333,19,0)&amp;""</f>
        <v>This question will help the institution gain an understanding of the types of data processed by this product or service.</v>
      </c>
      <c r="D302" s="265" t="str">
        <f>VLOOKUP($A302,Questions!$A$3:$X$333,20,0)&amp;""</f>
        <v/>
      </c>
    </row>
    <row r="303" spans="1:5" ht="36" customHeight="1" x14ac:dyDescent="0.2">
      <c r="A303" s="265" t="s">
        <v>338</v>
      </c>
      <c r="B303" s="265" t="str">
        <f>VLOOKUP($A303,Questions!$A$3:$X$333,2,0)&amp;""</f>
        <v>Does your solution process personal data regulated by state law(s) (e.g., CCPA)?</v>
      </c>
      <c r="C303" s="265" t="str">
        <f>VLOOKUP($A303,Questions!$A$3:$X$333,19,0)&amp;""</f>
        <v>This question will help the institution gain an understanding of the types of data processed by this product or service.</v>
      </c>
      <c r="D303" s="265" t="str">
        <f>VLOOKUP($A303,Questions!$A$3:$X$333,20,0)&amp;""</f>
        <v/>
      </c>
    </row>
    <row r="304" spans="1:5" ht="36" customHeight="1" x14ac:dyDescent="0.2">
      <c r="A304" s="265" t="s">
        <v>339</v>
      </c>
      <c r="B304" s="265" t="str">
        <f>VLOOKUP($A304,Questions!$A$3:$X$333,2,0)&amp;""</f>
        <v>Does your solution process user-provided data that may contain regulated information?</v>
      </c>
      <c r="C304" s="265" t="str">
        <f>VLOOKUP($A304,Questions!$A$3:$X$333,19,0)&amp;""</f>
        <v>This question will help the institution gain an understanding of the types of data processed by this product or service.</v>
      </c>
      <c r="D304" s="265" t="str">
        <f>VLOOKUP($A304,Questions!$A$3:$X$333,20,0)&amp;""</f>
        <v/>
      </c>
    </row>
    <row r="305" spans="1:5" ht="58" customHeight="1" x14ac:dyDescent="0.2">
      <c r="A305" s="265" t="s">
        <v>341</v>
      </c>
      <c r="B305" s="265" t="str">
        <f>VLOOKUP($A305,Questions!$A$3:$X$333,2,0)&amp;""</f>
        <v>Web Link to Product/Service Privacy Notice</v>
      </c>
      <c r="C305" s="265" t="str">
        <f>VLOOKUP($A305,Questions!$A$3:$X$333,19,0)&amp;""</f>
        <v>To ensure transparency and verify the vendor provides accessible privacy documentation that institutions can review and share with stakeholders.</v>
      </c>
      <c r="D305" s="265" t="str">
        <f>VLOOKUP($A305,Questions!$A$3:$X$333,20,0)&amp;""</f>
        <v>Please provide the direct URL to your privacy policy and confirm how frequently it is reviewed and updated.</v>
      </c>
    </row>
    <row r="306" spans="1:5" ht="23" customHeight="1" x14ac:dyDescent="0.2">
      <c r="A306" s="32" t="str">
        <f>VLOOKUP(LEFT($A307,4),'Auto Responses'!$N$4:$O$38,2,0)&amp;""</f>
        <v xml:space="preserve"> Privacy-Specific Company Details</v>
      </c>
      <c r="B306" s="32"/>
      <c r="C306" s="264" t="str">
        <f>Questions!$S$2</f>
        <v>Reason for Question</v>
      </c>
      <c r="D306" s="264" t="str">
        <f>Questions!$T$2</f>
        <v>Follow-Up Inquiries/Responses</v>
      </c>
    </row>
    <row r="307" spans="1:5" ht="78" customHeight="1" x14ac:dyDescent="0.2">
      <c r="A307" s="265" t="s">
        <v>343</v>
      </c>
      <c r="B307" s="265" t="str">
        <f>VLOOKUP($A307,Questions!$A$3:$X$333,2,0)&amp;""</f>
        <v>Have you had a personal data breach in the past three years that involved reporting to a governmental agency, notice to individuals (including voluntary notice), or notice to another organization or institution?*</v>
      </c>
      <c r="C307" s="265" t="str">
        <f>VLOOKUP($A307,Questions!$A$3:$X$333,19,0)&amp;""</f>
        <v>Having a previous data breach can indicate a level of risk that will indicate that the institution should further investigate changes made after the breach.</v>
      </c>
      <c r="D307" s="265" t="str">
        <f>VLOOKUP($A307,Questions!$A$3:$X$333,20,0)&amp;""</f>
        <v/>
      </c>
    </row>
    <row r="308" spans="1:5" ht="53" customHeight="1" x14ac:dyDescent="0.2">
      <c r="A308" s="265" t="s">
        <v>344</v>
      </c>
      <c r="B308" s="265" t="str">
        <f>VLOOKUP($A308,Questions!$A$3:$X$333,2,0)&amp;""</f>
        <v>Use this area to share information about your privacy practices that will assist those who are assessing your company data privacy program.*</v>
      </c>
      <c r="C308" s="265" t="str">
        <f>VLOOKUP($A308,Questions!$A$3:$X$333,19,0)&amp;""</f>
        <v>To gather voluntary disclosures that provide additional context beyond required responses, helping assessors understand the vendor's privacy culture and proactive commitment to data protection.</v>
      </c>
      <c r="D308" s="265" t="str">
        <f>VLOOKUP($A308,Questions!$A$3:$X$333,20,0)&amp;""</f>
        <v/>
      </c>
    </row>
    <row r="309" spans="1:5" ht="49" customHeight="1" x14ac:dyDescent="0.2">
      <c r="A309" s="265" t="s">
        <v>346</v>
      </c>
      <c r="B309" s="265" t="str">
        <f>VLOOKUP($A309,Questions!$A$3:$X$333,2,0)&amp;""</f>
        <v>Have you had any violations of your internal privacy policies or violations of applicable privacy law in the past 36 months?</v>
      </c>
      <c r="C309" s="265" t="str">
        <f>VLOOKUP($A309,Questions!$A$3:$X$333,19,0)&amp;""</f>
        <v>This question solicits information about internal privacy policy violations and/or violations of applicable privacy law in the past three years.</v>
      </c>
      <c r="D309" s="265" t="str">
        <f>VLOOKUP($A309,Questions!$A$3:$X$333,20,0)&amp;""</f>
        <v/>
      </c>
    </row>
    <row r="310" spans="1:5" ht="54" customHeight="1" x14ac:dyDescent="0.2">
      <c r="A310" s="265" t="s">
        <v>348</v>
      </c>
      <c r="B310" s="265" t="str">
        <f>VLOOKUP($A310,Questions!$A$3:$X$333,2,0)&amp;""</f>
        <v>Do you have a dedicated data privacy staff or office?</v>
      </c>
      <c r="C310" s="265" t="str">
        <f>VLOOKUP($A310,Questions!$A$3:$X$333,19,0)&amp;""</f>
        <v>Any solution provider processing protected student data should have resources/staff dedicated to the protection of the data.</v>
      </c>
      <c r="D310" s="265" t="str">
        <f>VLOOKUP($A310,Questions!$A$3:$X$333,20,0)&amp;""</f>
        <v/>
      </c>
    </row>
    <row r="311" spans="1:5" ht="47" customHeight="1" x14ac:dyDescent="0.2">
      <c r="A311" s="32" t="str">
        <f>VLOOKUP(LEFT($A312,4),'Auto Responses'!$N$4:$O$38,2,0)&amp;""</f>
        <v xml:space="preserve"> Privacy-Specific Documentation</v>
      </c>
      <c r="B311" s="32"/>
      <c r="C311" s="264" t="str">
        <f>Questions!$S$2</f>
        <v>Reason for Question</v>
      </c>
      <c r="D311" s="264" t="str">
        <f>Questions!$T$2</f>
        <v>Follow-Up Inquiries/Responses</v>
      </c>
    </row>
    <row r="312" spans="1:5" ht="45" customHeight="1" x14ac:dyDescent="0.2">
      <c r="A312" s="265" t="s">
        <v>349</v>
      </c>
      <c r="B312" s="265" t="str">
        <f>VLOOKUP($A312,Questions!$A$3:$X$333,2,0)&amp;""</f>
        <v>If you have completed a SOC 2 audit, does it include the Privacy Trust Service Principle?</v>
      </c>
      <c r="C312" s="265" t="str">
        <f>VLOOKUP($A312,Questions!$A$3:$X$333,19,0)&amp;""</f>
        <v>This is specifically asking for the Privacy Trust Service Principle, which is not always included in a SOC 2 audit.</v>
      </c>
      <c r="D312" s="265" t="str">
        <f>VLOOKUP($A312,Questions!$A$3:$X$333,20,0)&amp;""</f>
        <v/>
      </c>
    </row>
    <row r="313" spans="1:5" ht="104" customHeight="1" x14ac:dyDescent="0.2">
      <c r="A313" s="265" t="s">
        <v>351</v>
      </c>
      <c r="B313" s="265" t="str">
        <f>VLOOKUP($A313,Questions!$A$3:$X$333,2,0)&amp;""</f>
        <v>Do you conform with a specific industry-standard privacy framework (e.g., NIST Privacy Framework, GDPR, ISO 27701)?</v>
      </c>
      <c r="C313" s="265" t="str">
        <f>VLOOKUP($A313,Questions!$A$3:$X$333,19,0)&amp;""</f>
        <v>Conformance with industry privacy frameworks can demonstrate an organization's privacy posture and can provide clients a sense of comfort as to the organization's commitment to protection of personal data.</v>
      </c>
      <c r="D313" s="265" t="str">
        <f>VLOOKUP($A313,Questions!$A$3:$X$333,20,0)&amp;""</f>
        <v>If the organization relies on more than one framework or only on portions of a framework, has this been mapped to the Security Controls Framework? If so, please provide a copy of the mapping used.</v>
      </c>
    </row>
    <row r="314" spans="1:5" ht="131" customHeight="1" x14ac:dyDescent="0.2">
      <c r="A314" s="265" t="s">
        <v>353</v>
      </c>
      <c r="B314" s="265" t="str">
        <f>VLOOKUP($A314,Questions!$A$3:$X$333,2,0)&amp;""</f>
        <v>Does your employee onboarding and offboarding policy include training of employees on information security and data privacy?</v>
      </c>
      <c r="C314" s="265" t="str">
        <f>VLOOKUP($A314,Questions!$A$3:$X$333,19,0)&amp;""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their obligations to maintain protection and privacy of personal data they may have been privy to in the course of their employment with your organization.</v>
      </c>
      <c r="D314" s="265" t="str">
        <f>VLOOKUP($A314,Questions!$A$3:$X$333,20,0)&amp;""</f>
        <v>If training is provided to specific employee groups only, please provide information as to which groups and an overview of the training for each group.</v>
      </c>
    </row>
    <row r="315" spans="1:5" ht="28" customHeight="1" x14ac:dyDescent="0.15">
      <c r="A315" s="32" t="str">
        <f>VLOOKUP(LEFT($A316,4),'Auto Responses'!$N$4:$O$38,2,0)&amp;""</f>
        <v xml:space="preserve"> Privacy of Third Parties</v>
      </c>
      <c r="B315" s="32"/>
      <c r="C315" s="264" t="str">
        <f>Questions!$S$2</f>
        <v>Reason for Question</v>
      </c>
      <c r="D315" s="264" t="str">
        <f>Questions!$T$2</f>
        <v>Follow-Up Inquiries/Responses</v>
      </c>
      <c r="E315" s="62" t="s">
        <v>503</v>
      </c>
    </row>
    <row r="316" spans="1:5" ht="54" customHeight="1" x14ac:dyDescent="0.2">
      <c r="A316" s="265" t="s">
        <v>354</v>
      </c>
      <c r="B316" s="265" t="str">
        <f>VLOOKUP($A316,Questions!$A$3:$X$333,2,0)&amp;""</f>
        <v>Do you have contractual agreements with third parties that require them to maintain standards and to comply with all regulatory requirements?*</v>
      </c>
      <c r="C316" s="265" t="str">
        <f>VLOOKUP($A316,Questions!$A$3:$X$333,19,0)&amp;""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316" s="265" t="str">
        <f>VLOOKUP($A316,Questions!$A$3:$X$333,20,0)&amp;""</f>
        <v/>
      </c>
    </row>
    <row r="317" spans="1:5" ht="173" customHeight="1" x14ac:dyDescent="0.2">
      <c r="A317" s="265" t="s">
        <v>356</v>
      </c>
      <c r="B317" s="265" t="str">
        <f>VLOOKUP($A317,Questions!$A$3:$X$333,2,0)&amp;""</f>
        <v>Do you perform privacy impact assessments of third parties that collect, process, or have access to personal data to ensure they meet industry and regulatory standards and to mitigate harmful, unethical, or discriminatory impacts on data subjects?</v>
      </c>
      <c r="C317" s="265" t="str">
        <f>VLOOKUP($A317,Questions!$A$3:$X$333,19,0)&amp;""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317" s="265" t="str">
        <f>VLOOKUP($A317,Questions!$A$3:$X$333,20,0)&amp;""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row>
    <row r="318" spans="1:5" ht="23" customHeight="1" x14ac:dyDescent="0.2">
      <c r="A318" s="32" t="str">
        <f>VLOOKUP(LEFT($A319,4),'Auto Responses'!$N$4:$O$38,2,0)&amp;""</f>
        <v xml:space="preserve"> Privacy Change Management</v>
      </c>
      <c r="B318" s="32"/>
      <c r="C318" s="264" t="str">
        <f>Questions!$S$2</f>
        <v>Reason for Question</v>
      </c>
      <c r="D318" s="264" t="str">
        <f>Questions!$T$2</f>
        <v>Follow-Up Inquiries/Responses</v>
      </c>
    </row>
    <row r="319" spans="1:5" ht="57" customHeight="1" x14ac:dyDescent="0.2">
      <c r="A319" s="265" t="s">
        <v>358</v>
      </c>
      <c r="B319" s="265" t="str">
        <f>VLOOKUP($A319,Questions!$A$3:$X$333,2,0)&amp;""</f>
        <v>Does your change management process include privacy review and approval?</v>
      </c>
      <c r="C319" s="265" t="str">
        <f>VLOOKUP($A319,Questions!$A$3:$X$333,19,0)&amp;""</f>
        <v>It is important that change management not overlook any privacy considerations.</v>
      </c>
      <c r="D319" s="265" t="str">
        <f>VLOOKUP($A319,Questions!$A$3:$X$333,20,0)&amp;""</f>
        <v>If the answer is yes, describe the process; if the answer is no, describe plans to implement.</v>
      </c>
    </row>
    <row r="320" spans="1:5" ht="57" customHeight="1" x14ac:dyDescent="0.2">
      <c r="A320" s="265" t="s">
        <v>359</v>
      </c>
      <c r="B320" s="265" t="str">
        <f>VLOOKUP($A320,Questions!$A$3:$X$333,2,0)&amp;""</f>
        <v>Do you have policy and procedure, currently implemented, guiding how privacy risks are mitigated until they can be resolved?</v>
      </c>
      <c r="C320" s="265" t="str">
        <f>VLOOKUP($A320,Questions!$A$3:$X$333,19,0)&amp;""</f>
        <v>It is important to have a procedure in place to mitigate privacy risks as they come up.</v>
      </c>
      <c r="D320" s="265" t="str">
        <f>VLOOKUP($A320,Questions!$A$3:$X$333,20,0)&amp;""</f>
        <v>If the answer is yes, describe the process; if the answer is no, describe plans to implement.</v>
      </c>
    </row>
    <row r="321" spans="1:5" ht="23" customHeight="1" x14ac:dyDescent="0.2">
      <c r="A321" s="32" t="str">
        <f>VLOOKUP(LEFT($A322,4),'Auto Responses'!$N$4:$O$38,2,0)&amp;""</f>
        <v xml:space="preserve"> Privacy of Sensitive Data</v>
      </c>
      <c r="B321" s="32"/>
      <c r="C321" s="264" t="str">
        <f>Questions!$S$2</f>
        <v>Reason for Question</v>
      </c>
      <c r="D321" s="264" t="str">
        <f>Questions!$T$2</f>
        <v>Follow-Up Inquiries/Responses</v>
      </c>
    </row>
    <row r="322" spans="1:5" ht="57" customHeight="1" x14ac:dyDescent="0.2">
      <c r="A322" s="265" t="s">
        <v>360</v>
      </c>
      <c r="B322" s="265" t="str">
        <f>VLOOKUP($A322,Questions!$A$3:$X$333,2,0)&amp;""</f>
        <v>Do you collect, process, or store demographic information?*</v>
      </c>
      <c r="C322" s="265" t="str">
        <f>VLOOKUP($A322,Questions!$A$3:$X$333,19,0)&amp;""</f>
        <v>This data can be included in data sets that are deidentified but is sensitive data that could be reidentified if paired with other data points.</v>
      </c>
      <c r="D322" s="265" t="str">
        <f>VLOOKUP($A322,Questions!$A$3:$X$333,20,0)&amp;""</f>
        <v>Because of the nature of such data, it is important to have a full understanding of how the data is used and protected.</v>
      </c>
    </row>
    <row r="323" spans="1:5" ht="57" customHeight="1" x14ac:dyDescent="0.2">
      <c r="A323" s="265" t="s">
        <v>361</v>
      </c>
      <c r="B323" s="265" t="str">
        <f>VLOOKUP($A323,Questions!$A$3:$X$333,2,0)&amp;""</f>
        <v>Do you capture or create genetic, biometric, or behaviometric information (e.g., facial recognition or fingerprints)?*</v>
      </c>
      <c r="C323" s="265" t="str">
        <f>VLOOKUP($A323,Questions!$A$3:$X$333,19,0)&amp;""</f>
        <v>This data can be included in data sets that are deidentified but is sensitive data that could be reidentified if paired with other data points.</v>
      </c>
      <c r="D323" s="265" t="str">
        <f>VLOOKUP($A323,Questions!$A$3:$X$333,20,0)&amp;""</f>
        <v>Because of the nature of such data, it is important to have a full understanding of how the data is used and protected.</v>
      </c>
    </row>
    <row r="324" spans="1:5" ht="57" customHeight="1" x14ac:dyDescent="0.2">
      <c r="A324" s="265" t="s">
        <v>362</v>
      </c>
      <c r="B324" s="265" t="str">
        <f>VLOOKUP($A324,Questions!$A$3:$X$333,2,0)&amp;""</f>
        <v>Do you combine institutional data (including "de-identified," "anonymized," or otherwise masked data) with personal data from any other sources?*</v>
      </c>
      <c r="C324" s="265" t="str">
        <f>VLOOKUP($A324,Questions!$A$3:$X$333,19,0)&amp;""</f>
        <v>To identify potential re-identification risks and ensure the vendor doesn't merge institutional data with external datasets in ways that could compromise privacy protections or violate data use restrictions.</v>
      </c>
      <c r="D324" s="265" t="str">
        <f>VLOOKUP($A324,Questions!$A$3:$X$333,20,0)&amp;""</f>
        <v>If yes, describe what types of external data sources are combined with institutional data and for what purposes.</v>
      </c>
    </row>
    <row r="325" spans="1:5" ht="57" customHeight="1" x14ac:dyDescent="0.2">
      <c r="A325" s="265" t="s">
        <v>363</v>
      </c>
      <c r="B325" s="265" t="str">
        <f>VLOOKUP($A325,Questions!$A$3:$X$333,2,0)&amp;""</f>
        <v>Is institutional data coming into or going out of the United States at any point during collection, processing, storage, or archiving?</v>
      </c>
      <c r="C325" s="265" t="str">
        <f>VLOOKUP($A325,Questions!$A$3:$X$333,19,0)&amp;""</f>
        <v>To assess cross-border data transfer risks and ensure compliance with international privacy regulations including GDPR, data localization requirements, and data sovereignty considerations.</v>
      </c>
      <c r="D325" s="265" t="str">
        <f>VLOOKUP($A325,Questions!$A$3:$X$333,20,0)&amp;""</f>
        <v>If yes, identify which countries data flows to/from and what safeguards are in place (e.g., Standard Contractual Clauses, adequacy decisions).</v>
      </c>
    </row>
    <row r="326" spans="1:5" ht="57" customHeight="1" x14ac:dyDescent="0.2">
      <c r="A326" s="265" t="s">
        <v>364</v>
      </c>
      <c r="B326" s="265" t="str">
        <f>VLOOKUP($A326,Questions!$A$3:$X$333,2,0)&amp;""</f>
        <v>Do you capture device information (e.g., IP address, MAC address)?</v>
      </c>
      <c r="C326" s="265" t="str">
        <f>VLOOKUP($A326,Questions!$A$3:$X$333,19,0)&amp;""</f>
        <v>This question can clarify whether there are any indirect identifiers that don't appear to be readily identifiable but that could be identifiable in the event of unauthorized access or use.</v>
      </c>
      <c r="D326" s="265" t="str">
        <f>VLOOKUP($A326,Questions!$A$3:$X$333,20,0)&amp;""</f>
        <v/>
      </c>
    </row>
    <row r="327" spans="1:5" ht="57" customHeight="1" x14ac:dyDescent="0.15">
      <c r="A327" s="265" t="s">
        <v>366</v>
      </c>
      <c r="B327" s="265" t="str">
        <f>VLOOKUP($A327,Questions!$A$3:$X$333,2,0)&amp;""</f>
        <v>Does any part of this service/project involve a web/app tracking component (e.g., use of web-tracking pixels, cookies)?</v>
      </c>
      <c r="C327" s="265" t="str">
        <f>VLOOKUP($A327,Questions!$A$3:$X$333,19,0)&amp;""</f>
        <v>Web tracking can be used to identify users via their IP address, login information, browser information, etc.</v>
      </c>
      <c r="D327" s="265" t="str">
        <f>VLOOKUP($A327,Questions!$A$3:$X$333,20,0)&amp;""</f>
        <v/>
      </c>
      <c r="E327" s="62" t="s">
        <v>503</v>
      </c>
    </row>
    <row r="328" spans="1:5" ht="57" customHeight="1" x14ac:dyDescent="0.2">
      <c r="A328" s="265" t="s">
        <v>368</v>
      </c>
      <c r="B328" s="265" t="str">
        <f>VLOOKUP($A328,Questions!$A$3:$X$333,2,0)&amp;""</f>
        <v>Does your staff (or a third party) have access to institutional data (e.g., financial, PHI, or other sensitive information) through any means?</v>
      </c>
      <c r="C328" s="265" t="str">
        <f>VLOOKUP($A328,Questions!$A$3:$X$333,19,0)&amp;""</f>
        <v>Institutional data may be sensitive in nature and should only be accessed for legitimate business purposes.</v>
      </c>
      <c r="D328" s="265" t="str">
        <f>VLOOKUP($A328,Questions!$A$3:$X$333,20,0)&amp;""</f>
        <v/>
      </c>
    </row>
    <row r="329" spans="1:5" ht="57" customHeight="1" x14ac:dyDescent="0.2">
      <c r="A329" s="265" t="s">
        <v>370</v>
      </c>
      <c r="B329" s="265" t="str">
        <f>VLOOKUP($A329,Questions!$A$3:$X$333,2,0)&amp;""</f>
        <v>Will you handle personal data in a manner compliant with all relevant laws, regulations, and applicable institution policies?</v>
      </c>
      <c r="C329" s="265" t="str">
        <f>VLOOKUP($A329,Questions!$A$3:$X$333,19,0)&amp;""</f>
        <v>Personal data that is handled improperly or against law/regulation can have significant negative impact.</v>
      </c>
      <c r="D329" s="265" t="str">
        <f>VLOOKUP($A329,Questions!$A$3:$X$333,20,0)&amp;""</f>
        <v/>
      </c>
    </row>
    <row r="330" spans="1:5" ht="57" customHeight="1" x14ac:dyDescent="0.2">
      <c r="A330" s="32" t="str">
        <f>VLOOKUP(LEFT($A331,4),'Auto Responses'!$N$4:$O$38,2,0)&amp;""</f>
        <v xml:space="preserve"> Privacy Policies and Procedures</v>
      </c>
      <c r="B330" s="32"/>
      <c r="C330" s="264" t="str">
        <f>Questions!$S$2</f>
        <v>Reason for Question</v>
      </c>
      <c r="D330" s="264" t="str">
        <f>Questions!$T$2</f>
        <v>Follow-Up Inquiries/Responses</v>
      </c>
    </row>
    <row r="331" spans="1:5" ht="57" customHeight="1" x14ac:dyDescent="0.2">
      <c r="A331" s="265" t="s">
        <v>372</v>
      </c>
      <c r="B331" s="265" t="str">
        <f>VLOOKUP($A331,Questions!$A$3:$X$333,2,0)&amp;""</f>
        <v>Do you have a documented privacy management process?</v>
      </c>
      <c r="C331" s="265" t="str">
        <f>VLOOKUP($A331,Questions!$A$3:$X$333,19,0)&amp;""</f>
        <v>It's important for customers to know their data will remain private after being shared with the vendor.</v>
      </c>
      <c r="D331" s="265" t="str">
        <f>VLOOKUP($A331,Questions!$A$3:$X$333,20,0)&amp;""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332" spans="1:5" ht="57" customHeight="1" x14ac:dyDescent="0.2">
      <c r="A332" s="265" t="s">
        <v>373</v>
      </c>
      <c r="B332" s="265" t="str">
        <f>VLOOKUP($A332,Questions!$A$3:$X$333,2,0)&amp;""</f>
        <v>Are privacy principles designed into the product lifecycle (i.e., privacy-by-design)?</v>
      </c>
      <c r="C332" s="265" t="str">
        <f>VLOOKUP($A332,Questions!$A$3:$X$333,19,0)&amp;""</f>
        <v>Building privacy principles into the product lifecycle (e.g., privacy-by-design) can help ease the privacy management process.</v>
      </c>
      <c r="D332" s="265" t="str">
        <f>VLOOKUP($A332,Questions!$A$3:$X$333,20,0)&amp;""</f>
        <v/>
      </c>
    </row>
    <row r="333" spans="1:5" ht="57" customHeight="1" x14ac:dyDescent="0.15">
      <c r="A333" s="265" t="s">
        <v>375</v>
      </c>
      <c r="B333" s="265" t="str">
        <f>VLOOKUP($A333,Questions!$A$3:$X$333,2,0)&amp;""</f>
        <v>Will you comply with applicable breach notification laws?</v>
      </c>
      <c r="C333" s="265" t="str">
        <f>VLOOKUP($A333,Questions!$A$3:$X$333,19,0)&amp;""</f>
        <v>It's very important to get out in front of the impact from a system breach. Once a breach has been confirmed, timely communication is imperative.</v>
      </c>
      <c r="D333" s="265" t="str">
        <f>VLOOKUP($A333,Questions!$A$3:$X$333,20,0)&amp;""</f>
        <v>This is usually dictated by the government agency for the geographic region and, possibly, by your cybersecurity insurance carrier.</v>
      </c>
      <c r="E333" s="62" t="s">
        <v>503</v>
      </c>
    </row>
    <row r="334" spans="1:5" ht="57" customHeight="1" x14ac:dyDescent="0.2">
      <c r="A334" s="265" t="s">
        <v>376</v>
      </c>
      <c r="B334" s="265" t="str">
        <f>VLOOKUP($A334,Questions!$A$3:$X$333,2,0)&amp;""</f>
        <v>Will you comply with the institution's policies regarding user privacy and data protection?</v>
      </c>
      <c r="C334" s="265" t="str">
        <f>VLOOKUP($A334,Questions!$A$3:$X$333,19,0)&amp;""</f>
        <v>This question can help gauge a solution provider's willingness to align with institutional data privacy and protection policies before the contracting stage.</v>
      </c>
      <c r="D334" s="265" t="str">
        <f>VLOOKUP($A334,Questions!$A$3:$X$333,20,0)&amp;""</f>
        <v>Do any parts of your institutional policy conflict with the solution provider's standard practices?</v>
      </c>
    </row>
    <row r="335" spans="1:5" ht="87" customHeight="1" x14ac:dyDescent="0.2">
      <c r="A335" s="265" t="s">
        <v>377</v>
      </c>
      <c r="B335" s="265" t="str">
        <f>VLOOKUP($A335,Questions!$A$3:$X$333,2,0)&amp;""</f>
        <v>Is your company subject to the laws and regulations of the institution's geographic region?</v>
      </c>
      <c r="C335" s="265" t="str">
        <f>VLOOKUP($A335,Questions!$A$3:$X$333,19,0)&amp;""</f>
        <v>This question identifies whether the institution and solution provider are beholden to the same laws. If not, this should be covered in the contract.</v>
      </c>
      <c r="D335" s="265" t="str">
        <f>VLOOKUP($A335,Questions!$A$3:$X$333,20,0)&amp;""</f>
        <v>Which laws apply to your operations in institution's region? Where is institutional data processed or stored? Provide a link or document summarizing your compliance stance.</v>
      </c>
    </row>
    <row r="336" spans="1:5" ht="72" customHeight="1" x14ac:dyDescent="0.2">
      <c r="A336" s="265" t="s">
        <v>379</v>
      </c>
      <c r="B336" s="265" t="str">
        <f>VLOOKUP($A336,Questions!$A$3:$X$333,2,0)&amp;""</f>
        <v>Do you have a privacy awareness/training program?*</v>
      </c>
      <c r="C336" s="265" t="str">
        <f>VLOOKUP($A336,Questions!$A$3:$X$333,19,0)&amp;""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336" s="265" t="str">
        <f>VLOOKUP($A336,Questions!$A$3:$X$333,20,0)&amp;""</f>
        <v/>
      </c>
    </row>
    <row r="337" spans="1:5" ht="57" customHeight="1" x14ac:dyDescent="0.2">
      <c r="A337" s="265" t="s">
        <v>380</v>
      </c>
      <c r="B337" s="265" t="str">
        <f>VLOOKUP($A337,Questions!$A$3:$X$333,2,0)&amp;""</f>
        <v>Is privacy awareness training mandatory for all employees?</v>
      </c>
      <c r="C337" s="265" t="str">
        <f>VLOOKUP($A337,Questions!$A$3:$X$333,19,0)&amp;""</f>
        <v>This question serves a critical purpose in evaluating a vendor or institution’s commitment to data protection, risk mitigation, and regulatory compliance.</v>
      </c>
      <c r="D337" s="265" t="str">
        <f>VLOOKUP($A337,Questions!$A$3:$X$333,20,0)&amp;""</f>
        <v>This question helps assess whether privacy is treated as an organizational responsibility and whether the institution enforces consistent practices to reduce human risk factors.</v>
      </c>
    </row>
    <row r="338" spans="1:5" ht="57" customHeight="1" x14ac:dyDescent="0.2">
      <c r="A338" s="265" t="s">
        <v>381</v>
      </c>
      <c r="B338" s="265" t="str">
        <f>VLOOKUP($A338,Questions!$A$3:$X$333,2,0)&amp;""</f>
        <v>Is AI privacy and ethics awareness/training required for all employees who work with AI?</v>
      </c>
      <c r="C338" s="265" t="str">
        <f>VLOOKUP($A338,Questions!$A$3:$X$333,19,0)&amp;""</f>
        <v>This question is intended to assess whether an institution or vendor is proactively managing the risks, responsibilities, and ethical implications of AI use, especially as it relates to sensitive data, autonomy, and fairness.</v>
      </c>
      <c r="D338" s="265" t="str">
        <f>VLOOKUP($A338,Questions!$A$3:$X$333,20,0)&amp;""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39" spans="1:5" ht="94" customHeight="1" x14ac:dyDescent="0.15">
      <c r="A339" s="265" t="s">
        <v>382</v>
      </c>
      <c r="B339" s="265" t="str">
        <f>VLOOKUP($A339,Questions!$A$3:$X$333,2,0)&amp;""</f>
        <v>Do you have any decision-making processes that are completely automated (i.e., there is no human involvement)?</v>
      </c>
      <c r="C339" s="265" t="str">
        <f>VLOOKUP($A339,Questions!$A$3:$X$333,19,0)&amp;""</f>
        <v>This question identifies potential privacy, ethical, security, and compliance risks that may arise from fully automated systems, especially those that affect individuals or their data.</v>
      </c>
      <c r="D339" s="265" t="str">
        <f>VLOOKUP($A339,Questions!$A$3:$X$333,20,0)&amp;""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c r="E339" s="62" t="s">
        <v>503</v>
      </c>
    </row>
    <row r="340" spans="1:5" ht="72" customHeight="1" x14ac:dyDescent="0.2">
      <c r="A340" s="265" t="s">
        <v>383</v>
      </c>
      <c r="B340" s="265" t="str">
        <f>VLOOKUP($A340,Questions!$A$3:$X$333,2,0)&amp;""</f>
        <v>Do you have a documented process for managing automated processing, including validations, monitoring, and data subject requests?</v>
      </c>
      <c r="C340" s="265" t="str">
        <f>VLOOKUP($A340,Questions!$A$3:$X$333,19,0)&amp;""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40" s="265" t="str">
        <f>VLOOKUP($A340,Questions!$A$3:$X$333,20,0)&amp;""</f>
        <v/>
      </c>
    </row>
    <row r="341" spans="1:5" ht="57" customHeight="1" x14ac:dyDescent="0.2">
      <c r="A341" s="265" t="s">
        <v>384</v>
      </c>
      <c r="B341" s="265" t="str">
        <f>VLOOKUP($A341,Questions!$A$3:$X$333,2,0)&amp;""</f>
        <v>Do you have a documented policy for sharing information with law enforcement?</v>
      </c>
      <c r="C341" s="265" t="str">
        <f>VLOOKUP($A341,Questions!$A$3:$X$333,19,0)&amp;""</f>
        <v>The institution should know which laws apply to the data to which the solution provider will have access. You should also have a thorough understanding of how requests from law enforcement will be handled.</v>
      </c>
      <c r="D341" s="265" t="str">
        <f>VLOOKUP($A341,Questions!$A$3:$X$333,20,0)&amp;""</f>
        <v/>
      </c>
    </row>
    <row r="342" spans="1:5" ht="57" customHeight="1" x14ac:dyDescent="0.2">
      <c r="A342" s="265" t="s">
        <v>385</v>
      </c>
      <c r="B342" s="265" t="str">
        <f>VLOOKUP($A342,Questions!$A$3:$X$333,2,0)&amp;""</f>
        <v>Do you share any institutional data with law enforcement without a valid warrant or subpoena?*</v>
      </c>
      <c r="C342" s="265" t="str">
        <f>VLOOKUP($A342,Questions!$A$3:$X$333,19,0)&amp;""</f>
        <v>To protect institutional and individual privacy rights by ensuring data is only disclosed to law enforcement through proper legal channels with appropriate due process protections.</v>
      </c>
      <c r="D342" s="265" t="str">
        <f>VLOOKUP($A342,Questions!$A$3:$X$333,20,0)&amp;""</f>
        <v>If yes, under what circumstances and with what documentation/notification to the institution?</v>
      </c>
    </row>
    <row r="343" spans="1:5" ht="57" customHeight="1" x14ac:dyDescent="0.2">
      <c r="A343" s="265" t="s">
        <v>386</v>
      </c>
      <c r="B343" s="265" t="str">
        <f>VLOOKUP($A343,Questions!$A$3:$X$333,2,0)&amp;""</f>
        <v>Does your incident response team include a privacy analyst/officer?</v>
      </c>
      <c r="C343" s="265" t="str">
        <f>VLOOKUP($A343,Questions!$A$3:$X$333,19,0)&amp;""</f>
        <v>Having a privacy analyst/officer on an incident response team can help the company more quickly identify a breach and comply with applicable notification laws.</v>
      </c>
      <c r="D343" s="265" t="str">
        <f>VLOOKUP($A343,Questions!$A$3:$X$333,20,0)&amp;""</f>
        <v/>
      </c>
    </row>
    <row r="344" spans="1:5" ht="57" customHeight="1" x14ac:dyDescent="0.2">
      <c r="A344" s="32" t="str">
        <f>VLOOKUP(LEFT($A345,4),'Auto Responses'!$N$4:$O$38,2,0)&amp;""</f>
        <v xml:space="preserve"> International Privacy</v>
      </c>
      <c r="B344" s="32"/>
      <c r="C344" s="264" t="str">
        <f>Questions!$S$2</f>
        <v>Reason for Question</v>
      </c>
      <c r="D344" s="264" t="str">
        <f>Questions!$T$2</f>
        <v>Follow-Up Inquiries/Responses</v>
      </c>
    </row>
    <row r="345" spans="1:5" ht="57" customHeight="1" x14ac:dyDescent="0.15">
      <c r="A345" s="265" t="s">
        <v>387</v>
      </c>
      <c r="B345" s="265" t="str">
        <f>VLOOKUP($A345,Questions!$A$3:$X$333,2,0)&amp;""</f>
        <v>Will data be collected from or processed in or stored in the European Economic Area (EEA)?</v>
      </c>
      <c r="C345" s="265" t="str">
        <f>VLOOKUP($A345,Questions!$A$3:$X$333,19,0)&amp;""</f>
        <v>Understanding whether the vendor processes data in Europe may help with institutional GDPR compliance.</v>
      </c>
      <c r="D345" s="265" t="str">
        <f>VLOOKUP($A345,Questions!$A$3:$X$333,20,0)&amp;""</f>
        <v>If institution's intended use includes targeting of data subjects in EEA/UK and if vendor marks "no," institution might want to follow up to clarify data collected.</v>
      </c>
      <c r="E345" s="62" t="s">
        <v>503</v>
      </c>
    </row>
    <row r="346" spans="1:5" ht="57" customHeight="1" x14ac:dyDescent="0.2">
      <c r="A346" s="265" t="s">
        <v>389</v>
      </c>
      <c r="B346" s="265" t="str">
        <f>VLOOKUP($A346,Questions!$A$3:$X$333,2,0)&amp;""</f>
        <v>Do you have a data protection officer (DPO)?</v>
      </c>
      <c r="C346" s="265" t="str">
        <f>VLOOKUP($A346,Questions!$A$3:$X$333,19,0)&amp;""</f>
        <v>Vendors targeting services in the EEA/UK should have GDPR-compliant policies and procedures.</v>
      </c>
      <c r="D346" s="265" t="str">
        <f>VLOOKUP($A346,Questions!$A$3:$X$333,20,0)&amp;""</f>
        <v/>
      </c>
    </row>
    <row r="347" spans="1:5" ht="57" customHeight="1" x14ac:dyDescent="0.2">
      <c r="A347" s="265" t="s">
        <v>390</v>
      </c>
      <c r="B347" s="265" t="str">
        <f>VLOOKUP($A347,Questions!$A$3:$X$333,2,0)&amp;""</f>
        <v>Will you sign appropriate GDPR Standard Contractual Clauses (SCCs) with the institution?</v>
      </c>
      <c r="C347" s="265" t="str">
        <f>VLOOKUP($A347,Questions!$A$3:$X$333,19,0)&amp;""</f>
        <v>Vendors targeting services in the EEA/UK should have the ability to agree to the SCCs.</v>
      </c>
      <c r="D347" s="265" t="str">
        <f>VLOOKUP($A347,Questions!$A$3:$X$333,20,0)&amp;""</f>
        <v/>
      </c>
    </row>
    <row r="348" spans="1:5" ht="57" customHeight="1" x14ac:dyDescent="0.2">
      <c r="A348" s="265" t="s">
        <v>392</v>
      </c>
      <c r="B348" s="265" t="str">
        <f>VLOOKUP($A348,Questions!$A$3:$X$333,2,0)&amp;""</f>
        <v>Will data be collected from or processed in or stored in China?</v>
      </c>
      <c r="C348" s="265" t="str">
        <f>VLOOKUP($A348,Questions!$A$3:$X$333,19,0)&amp;""</f>
        <v>Understanding whether the vendor processes data in China may help with institutional PIPL compliance.</v>
      </c>
      <c r="D348" s="265" t="str">
        <f>VLOOKUP($A348,Questions!$A$3:$X$333,20,0)&amp;""</f>
        <v>If institution's intended use includes targeting of data subjects in China and if vendor marks "no," institution might want to follow up to clarify data collected.</v>
      </c>
    </row>
    <row r="349" spans="1:5" ht="57" customHeight="1" x14ac:dyDescent="0.2">
      <c r="A349" s="265" t="s">
        <v>393</v>
      </c>
      <c r="B349" s="265" t="str">
        <f>VLOOKUP($A349,Questions!$A$3:$X$333,2,0)&amp;""</f>
        <v>Do you comply with PIPL security, privacy, and data localization requirements?</v>
      </c>
      <c r="C349" s="265" t="str">
        <f>VLOOKUP($A349,Questions!$A$3:$X$333,19,0)&amp;""</f>
        <v>Vendors targeting services in China should have the ability to comply with PIPL requirements.</v>
      </c>
      <c r="D349" s="265" t="str">
        <f>VLOOKUP($A349,Questions!$A$3:$X$333,20,0)&amp;""</f>
        <v/>
      </c>
    </row>
    <row r="350" spans="1:5" ht="57" customHeight="1" x14ac:dyDescent="0.2">
      <c r="A350" s="32" t="str">
        <f>VLOOKUP(LEFT($A351,4),'Auto Responses'!$N$4:$O$38,2,0)&amp;""</f>
        <v xml:space="preserve"> Data Privacy</v>
      </c>
      <c r="B350" s="32"/>
      <c r="C350" s="264" t="str">
        <f>Questions!$S$2</f>
        <v>Reason for Question</v>
      </c>
      <c r="D350" s="264" t="str">
        <f>Questions!$T$2</f>
        <v>Follow-Up Inquiries/Responses</v>
      </c>
    </row>
    <row r="351" spans="1:5" ht="57" customHeight="1" x14ac:dyDescent="0.2">
      <c r="A351" s="265" t="s">
        <v>394</v>
      </c>
      <c r="B351" s="265" t="str">
        <f>VLOOKUP($A351,Questions!$A$3:$X$333,2,0)&amp;""</f>
        <v>Have you performed a Data Privacy Impact Assessment for the solution/project?</v>
      </c>
      <c r="C351" s="265" t="str">
        <f>VLOOKUP($A351,Questions!$A$3:$X$333,19,0)&amp;""</f>
        <v>To verify the vendor has systematically evaluated privacy risks and implemented appropriate safeguards before deploying their solution, demonstrating privacy-by-design principles.</v>
      </c>
      <c r="D351" s="265" t="str">
        <f>VLOOKUP($A351,Questions!$A$3:$X$333,20,0)&amp;""</f>
        <v>Please provide a copy of the DPIA or summary of findings and mitigation measures.</v>
      </c>
    </row>
    <row r="352" spans="1:5" ht="57" customHeight="1" x14ac:dyDescent="0.2">
      <c r="A352" s="265" t="s">
        <v>395</v>
      </c>
      <c r="B352" s="265" t="str">
        <f>VLOOKUP($A352,Questions!$A$3:$X$333,2,0)&amp;""</f>
        <v>Do you provide an end-user privacy notice about privacy policies and procedures that identify the purpose(s) for which personal information is collected, used, retained, and disclosed?</v>
      </c>
      <c r="C352" s="265" t="str">
        <f>VLOOKUP($A352,Questions!$A$3:$X$333,19,0)&amp;""</f>
        <v>To ensure transparency with end users about data practices and compliance with privacy notice requirements under FERPA, GDPR, CCPA, and other applicable regulations.</v>
      </c>
      <c r="D352" s="265" t="str">
        <f>VLOOKUP($A352,Questions!$A$3:$X$333,20,0)&amp;""</f>
        <v>How do you inform users of changes to the policy?</v>
      </c>
    </row>
    <row r="353" spans="1:5" ht="57" customHeight="1" x14ac:dyDescent="0.2">
      <c r="A353" s="265" t="s">
        <v>397</v>
      </c>
      <c r="B353" s="265" t="str">
        <f>VLOOKUP($A353,Questions!$A$3:$X$333,2,0)&amp;""</f>
        <v>Do you describe the choices available to the individual and obtain implicit or explicit consent with respect to the collection, use, and disclosure of personal information?</v>
      </c>
      <c r="C353" s="265" t="str">
        <f>VLOOKUP($A353,Questions!$A$3:$X$333,19,0)&amp;""</f>
        <v>To verify meaningful consent mechanisms exist and users have adequate control over their personal information in accordance with fair information practice principles and regulatory requirements.</v>
      </c>
      <c r="D353" s="265" t="str">
        <f>VLOOKUP($A353,Questions!$A$3:$X$333,20,0)&amp;""</f>
        <v>Describe your consent mechanism and how users can withdraw consent if they choose.</v>
      </c>
    </row>
    <row r="354" spans="1:5" ht="57" customHeight="1" x14ac:dyDescent="0.15">
      <c r="A354" s="265" t="s">
        <v>399</v>
      </c>
      <c r="B354" s="265" t="str">
        <f>VLOOKUP($A354,Questions!$A$3:$X$333,2,0)&amp;""</f>
        <v>Do you collect personal information only for the purpose(s) identified in the agreement with an institution or, if there is none, the purpose(s) identified in the privacy notice?</v>
      </c>
      <c r="C354" s="265" t="str">
        <f>VLOOKUP($A354,Questions!$A$3:$X$333,19,0)&amp;""</f>
        <v>Companies may collect information for purposes not outlined in the service agreement, including quality assurance, marketing, etc. Institutions should have a thorough understanding of what data is being used and how.</v>
      </c>
      <c r="D354" s="265" t="str">
        <f>VLOOKUP($A354,Questions!$A$3:$X$333,20,0)&amp;""</f>
        <v/>
      </c>
      <c r="E354" s="62" t="s">
        <v>503</v>
      </c>
    </row>
    <row r="355" spans="1:5" ht="57" customHeight="1" x14ac:dyDescent="0.2">
      <c r="A355" s="265" t="s">
        <v>401</v>
      </c>
      <c r="B355" s="265" t="str">
        <f>VLOOKUP($A355,Questions!$A$3:$X$333,2,0)&amp;""</f>
        <v>Do you have a documented list of personal data your service maintains?</v>
      </c>
      <c r="C355" s="265" t="str">
        <f>VLOOKUP($A355,Questions!$A$3:$X$333,19,0)&amp;""</f>
        <v>To ensure the vendor maintains data inventory records necessary for privacy compliance, breach response, data subject rights requests, and understanding the full scope of data collection.</v>
      </c>
      <c r="D355" s="265" t="str">
        <f>VLOOKUP($A355,Questions!$A$3:$X$333,20,0)&amp;""</f>
        <v>Please provide your data inventory or map showing categories of personal data collected and retention periods.</v>
      </c>
    </row>
    <row r="356" spans="1:5" ht="57" customHeight="1" x14ac:dyDescent="0.2">
      <c r="A356" s="265" t="s">
        <v>402</v>
      </c>
      <c r="B356" s="265" t="str">
        <f>VLOOKUP($A356,Questions!$A$3:$X$333,2,0)&amp;""</f>
        <v>Do you retain personal information for only as long as necessary to fulfill the stated purpose(s) or as required by law or regulation and thereafter appropriately dispose of such information?</v>
      </c>
      <c r="C356" s="265" t="str">
        <f>VLOOKUP($A356,Questions!$A$3:$X$333,19,0)&amp;""</f>
        <v>Data minimization is a basic privacy principle, and it is important to know whether the solution provider is keeping data longer than necessary and introducing a significant privacy risk.</v>
      </c>
      <c r="D356" s="265" t="str">
        <f>VLOOKUP($A356,Questions!$A$3:$X$333,20,0)&amp;""</f>
        <v/>
      </c>
    </row>
    <row r="357" spans="1:5" ht="90" customHeight="1" x14ac:dyDescent="0.2">
      <c r="A357" s="265" t="s">
        <v>404</v>
      </c>
      <c r="B357" s="265" t="str">
        <f>VLOOKUP($A357,Questions!$A$3:$X$333,2,0)&amp;""</f>
        <v>Do you provide individuals with access to their personal information for review and update (i.e., data subject rights)?</v>
      </c>
      <c r="C357" s="265" t="str">
        <f>VLOOKUP($A357,Questions!$A$3:$X$333,19,0)&amp;""</f>
        <v>This question seeks proof of an entity's ability to honor data-subject rights related to providing an individual access to their own information. Such processes would include descriptions of request processes individuals can follow to review their information and written processes a data subject may use to ask for changes or corrections to data held about them.</v>
      </c>
      <c r="D357" s="265" t="str">
        <f>VLOOKUP($A357,Questions!$A$3:$X$333,20,0)&amp;""</f>
        <v/>
      </c>
    </row>
    <row r="358" spans="1:5" ht="57" customHeight="1" x14ac:dyDescent="0.2">
      <c r="A358" s="265" t="s">
        <v>406</v>
      </c>
      <c r="B358" s="265" t="str">
        <f>VLOOKUP($A358,Questions!$A$3:$X$333,2,0)&amp;""</f>
        <v>Do you disclose personal information to third parties only for the purpose(s) identified in the privacy notice or with the implicit or explicit consent of the individual?</v>
      </c>
      <c r="C358" s="265" t="str">
        <f>VLOOKUP($A358,Questions!$A$3:$X$333,19,0)&amp;""</f>
        <v>To limit unauthorized third-party data sharing and ensure transparency about data flows beyond the direct vendor relationship, protecting against unexpected secondary uses.</v>
      </c>
      <c r="D358" s="265" t="str">
        <f>VLOOKUP($A358,Questions!$A$3:$X$333,20,0)&amp;""</f>
        <v>Provide a list of third parties who receive personal information and the purpose for each disclosure.</v>
      </c>
    </row>
    <row r="359" spans="1:5" ht="57" customHeight="1" x14ac:dyDescent="0.2">
      <c r="A359" s="265" t="s">
        <v>408</v>
      </c>
      <c r="B359" s="265" t="str">
        <f>VLOOKUP($A359,Questions!$A$3:$X$333,2,0)&amp;""</f>
        <v>Do you protect personal information against unauthorized access (both physical and logical)?</v>
      </c>
      <c r="C359" s="265" t="str">
        <f>VLOOKUP($A359,Questions!$A$3:$X$333,19,0)&amp;""</f>
        <v>To verify appropriate security controls are in place to protect personal data from breaches, unauthorized disclosure, and both external and internal threats.</v>
      </c>
      <c r="D359" s="265" t="str">
        <f>VLOOKUP($A359,Questions!$A$3:$X$333,20,0)&amp;""</f>
        <v>Describe your access control mechanisms, encryption methods, and incident response procedures.</v>
      </c>
    </row>
    <row r="360" spans="1:5" ht="57" customHeight="1" x14ac:dyDescent="0.2">
      <c r="A360" s="265" t="s">
        <v>409</v>
      </c>
      <c r="B360" s="265" t="str">
        <f>VLOOKUP($A360,Questions!$A$3:$X$333,2,0)&amp;""</f>
        <v>Do you maintain accurate, complete, and relevant personal information for the purposes identified in the privacy notice?</v>
      </c>
      <c r="C360" s="265" t="str">
        <f>VLOOKUP($A360,Questions!$A$3:$X$333,19,0)&amp;""</f>
        <v>To ensure data quality practices that prevent privacy harms from inaccurate or outdated personal information, particularly in contexts where data accuracy affects individual rights or opportunities.</v>
      </c>
      <c r="D360" s="265" t="str">
        <f>VLOOKUP($A360,Questions!$A$3:$X$333,20,0)&amp;""</f>
        <v>What processes do you have for individuals to review and correct their personal information?</v>
      </c>
    </row>
    <row r="361" spans="1:5" ht="57" customHeight="1" x14ac:dyDescent="0.15">
      <c r="A361" s="265" t="s">
        <v>411</v>
      </c>
      <c r="B361" s="265" t="str">
        <f>VLOOKUP($A361,Questions!$A$3:$X$333,2,0)&amp;""</f>
        <v>Do you have procedures to address privacy-related noncompliance complaints and disputes?</v>
      </c>
      <c r="C361" s="265" t="str">
        <f>VLOOKUP($A361,Questions!$A$3:$X$333,19,0)&amp;""</f>
        <v>To verify accountability mechanisms exist for addressing privacy concerns, providing recourse to affected individuals, and demonstrating responsiveness to privacy complaints.</v>
      </c>
      <c r="D361" s="265" t="str">
        <f>VLOOKUP($A361,Questions!$A$3:$X$333,20,0)&amp;""</f>
        <v>Describe your complaint handling process, typical response times, and escalation procedures.</v>
      </c>
      <c r="E361" s="62" t="s">
        <v>503</v>
      </c>
    </row>
    <row r="362" spans="1:5" ht="54" customHeight="1" x14ac:dyDescent="0.2">
      <c r="A362" s="265" t="s">
        <v>412</v>
      </c>
      <c r="B362" s="265" t="str">
        <f>VLOOKUP($A362,Questions!$A$3:$X$333,2,0)&amp;""</f>
        <v>Do you "anonymize," "de-identify," or otherwise mask personal data?</v>
      </c>
      <c r="C362" s="265" t="str">
        <f>VLOOKUP($A362,Questions!$A$3:$X$333,19,0)&amp;""</f>
        <v>To understand the vendor's approach to privacy-enhancing techniques and assess whether data masking methods are appropriate, effective, and aligned with recognized anonymization standards.</v>
      </c>
      <c r="D362" s="265" t="str">
        <f>VLOOKUP($A362,Questions!$A$3:$X$333,20,0)&amp;""</f>
        <v>Describe your anonymization methodology and any validation or testing performed to ensure re-identification risks are minimized.</v>
      </c>
    </row>
    <row r="363" spans="1:5" ht="90" customHeight="1" x14ac:dyDescent="0.2">
      <c r="A363" s="265" t="s">
        <v>413</v>
      </c>
      <c r="B363" s="265" t="str">
        <f>VLOOKUP($A363,Questions!$A$3:$X$333,2,0)&amp;""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63" s="265" t="str">
        <f>VLOOKUP($A363,Questions!$A$3:$X$333,19,0)&amp;""</f>
        <v>To prevent secondary use of institutional data that could undermine privacy protections, contradict institutional data governance policies, or enable commercial uses incompatible with educational purposes.</v>
      </c>
      <c r="D363" s="265" t="str">
        <f>VLOOKUP($A363,Questions!$A$3:$X$333,20,0)&amp;""</f>
        <v>If yes, provide details on secondary uses and obtain specific written consent from the institution for these uses.</v>
      </c>
    </row>
    <row r="364" spans="1:5" ht="90" customHeight="1" x14ac:dyDescent="0.2">
      <c r="A364" s="265" t="s">
        <v>414</v>
      </c>
      <c r="B364" s="265" t="str">
        <f>VLOOKUP($A364,Questions!$A$3:$X$333,2,0)&amp;""</f>
        <v>Do you certify stop-processing requests, including any data that is processed by a third party on your behalf?</v>
      </c>
      <c r="C364" s="265" t="str">
        <f>VLOOKUP($A364,Questions!$A$3:$X$333,19,0)&amp;""</f>
        <v>It is helpful to understand a vendor or third party's actions with data they receive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64" s="265" t="str">
        <f>VLOOKUP($A364,Questions!$A$3:$X$333,20,0)&amp;""</f>
        <v>If your organization has exchange programs or does business with global organizations or organizations located outside the United States, depending on the services sought, your institution should determine whether this is a requirement.</v>
      </c>
    </row>
    <row r="365" spans="1:5" ht="72" customHeight="1" x14ac:dyDescent="0.2">
      <c r="A365" s="265" t="s">
        <v>416</v>
      </c>
      <c r="B365" s="265" t="str">
        <f>VLOOKUP($A365,Questions!$A$3:$X$333,2,0)&amp;""</f>
        <v>Do you have a process to review code for ethical considerations?</v>
      </c>
      <c r="C365" s="265" t="str">
        <f>VLOOKUP($A365,Questions!$A$3:$X$333,19,0)&amp;""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65" s="265" t="str">
        <f>VLOOKUP($A365,Questions!$A$3:$X$333,20,0)&amp;""</f>
        <v/>
      </c>
    </row>
    <row r="366" spans="1:5" ht="23" hidden="1" customHeight="1" x14ac:dyDescent="0.2">
      <c r="A366" s="32" t="str">
        <f>VLOOKUP(LEFT($A367,4),'Auto Responses'!$N$4:$O$38,2,0)&amp;""</f>
        <v xml:space="preserve"> Privacy and AI</v>
      </c>
      <c r="B366" s="32"/>
      <c r="C366" s="264" t="str">
        <f>Questions!$S$2</f>
        <v>Reason for Question</v>
      </c>
      <c r="D366" s="264" t="str">
        <f>Questions!$T$2</f>
        <v>Follow-Up Inquiries/Responses</v>
      </c>
    </row>
    <row r="367" spans="1:5" ht="36" hidden="1" customHeight="1" x14ac:dyDescent="0.2">
      <c r="A367" s="265" t="s">
        <v>417</v>
      </c>
      <c r="B367" s="265" t="str">
        <f>VLOOKUP($A367,Questions!$A$3:$X$333,2,0)&amp;""</f>
        <v>Does your service use AI for the processing of institutional data?</v>
      </c>
      <c r="C367" s="265" t="str">
        <f>VLOOKUP($A367,Questions!$A$3:$X$333,18,0)&amp;""</f>
        <v>Please explain why this does not apply to your product or service.</v>
      </c>
      <c r="D367" s="265" t="str">
        <f>VLOOKUP($A367,Questions!$A$3:$X$333,19,0)&amp;""</f>
        <v>To identify AI-related privacy risks including potential bias, unintended disclosures, lack of explainability in automated decision-making, and training data provenance concerns.</v>
      </c>
    </row>
    <row r="368" spans="1:5" ht="36" hidden="1" customHeight="1" x14ac:dyDescent="0.2">
      <c r="A368" s="265" t="s">
        <v>418</v>
      </c>
      <c r="B368" s="265" t="str">
        <f>VLOOKUP($A368,Questions!$A$3:$X$333,2,0)&amp;""</f>
        <v>Is any institutional data retained in AI processing?*</v>
      </c>
      <c r="C368" s="265" t="str">
        <f>VLOOKUP($A368,Questions!$A$3:$X$333,18,0)&amp;""</f>
        <v>Please explain why this does not apply to your product or service.</v>
      </c>
      <c r="D368" s="265" t="str">
        <f>VLOOKUP($A368,Questions!$A$3:$X$333,19,0)&amp;""</f>
        <v>This question assesses whether institutional data is stored or retained during AI processing, which may have implications for data security, retention policies, and regulatory compliance.</v>
      </c>
    </row>
    <row r="369" spans="1:4" ht="36" hidden="1" customHeight="1" x14ac:dyDescent="0.2">
      <c r="A369" s="265" t="s">
        <v>419</v>
      </c>
      <c r="B369" s="265" t="str">
        <f>VLOOKUP($A369,Questions!$A$3:$X$333,2,0)&amp;""</f>
        <v>Do you have agreements in place with third parties or subprocessors regarding the protection of customer data and use of AI?*</v>
      </c>
      <c r="C369" s="265" t="str">
        <f>VLOOKUP($A369,Questions!$A$3:$X$333,18,0)&amp;""</f>
        <v>Please explain why this does not apply to your product or service.</v>
      </c>
      <c r="D369" s="265" t="str">
        <f>VLOOKUP($A369,Questions!$A$3:$X$333,19,0)&amp;""</f>
        <v>It's important to ensure that third-party vendors or subprocessors involved in AI processing are contractually bound to protect institutional data and comply with privacy standards.</v>
      </c>
    </row>
    <row r="370" spans="1:4" ht="36" hidden="1" customHeight="1" x14ac:dyDescent="0.2">
      <c r="A370" s="265" t="s">
        <v>420</v>
      </c>
      <c r="B370" s="265" t="str">
        <f>VLOOKUP($A370,Questions!$A$3:$X$333,2,0)&amp;""</f>
        <v>Will institutional data be processed through a third party or subprocessor that also uses AI?</v>
      </c>
      <c r="C370" s="265" t="str">
        <f>VLOOKUP($A370,Questions!$A$3:$X$333,18,0)&amp;""</f>
        <v>Please explain why this does not apply to your product or service.</v>
      </c>
      <c r="D370" s="265" t="str">
        <f>VLOOKUP($A370,Questions!$A$3:$X$333,19,0)&amp;""</f>
        <v>This question identifies whether institutional data is shared with or processed by third parties that use AI, which may introduce additional privacy or ethical considerations.</v>
      </c>
    </row>
    <row r="371" spans="1:4" ht="36" hidden="1" customHeight="1" x14ac:dyDescent="0.2">
      <c r="A371" s="265" t="s">
        <v>421</v>
      </c>
      <c r="B371" s="265" t="str">
        <f>VLOOKUP($A371,Questions!$A$3:$X$333,2,0)&amp;""</f>
        <v>Is AI processing limited to fully licensed commercial enterprise AI services?</v>
      </c>
      <c r="C371" s="265" t="str">
        <f>VLOOKUP($A371,Questions!$A$3:$X$333,18,0)&amp;""</f>
        <v>Please explain why this does not apply to your product or service.</v>
      </c>
      <c r="D371" s="265" t="str">
        <f>VLOOKUP($A371,Questions!$A$3:$X$333,19,0)&amp;""</f>
        <v>In most cases, only enterprise licenses allow for an organization to customize what data is collected and how it is used. Free licenses to AI tools could introduce a risk to data.</v>
      </c>
    </row>
    <row r="372" spans="1:4" ht="54" hidden="1" customHeight="1" x14ac:dyDescent="0.2">
      <c r="A372" s="265" t="s">
        <v>422</v>
      </c>
      <c r="B372" s="265" t="str">
        <f>VLOOKUP($A372,Questions!$A$3:$X$333,2,0)&amp;""</f>
        <v>Will institutional data be used or processed by any shared AI services?</v>
      </c>
      <c r="C372" s="265" t="str">
        <f>VLOOKUP($A372,Questions!$A$3:$X$333,18,0)&amp;""</f>
        <v>Please explain why this does not apply to your product or service.</v>
      </c>
      <c r="D372" s="265" t="str">
        <f>VLOOKUP($A372,Questions!$A$3:$X$333,19,0)&amp;""</f>
        <v>Use of AI services and tools runs a risk of being supported by bad batches or databanks of information. Additionally, harmful bias and other data-quality issues can affect AI system trustworthiness, which could lead to negative impacts.</v>
      </c>
    </row>
    <row r="373" spans="1:4" ht="72" hidden="1" customHeight="1" x14ac:dyDescent="0.2">
      <c r="A373" s="265" t="s">
        <v>423</v>
      </c>
      <c r="B373" s="265" t="str">
        <f>VLOOKUP($A373,Questions!$A$3:$X$333,2,0)&amp;""</f>
        <v>Do you have safeguards in place to protect institutional data and data privacy from unintended AI queries or processing?</v>
      </c>
      <c r="C373" s="265" t="str">
        <f>VLOOKUP($A373,Questions!$A$3:$X$333,18,0)&amp;""</f>
        <v>Please explain why this does not apply to your product or service.</v>
      </c>
      <c r="D373" s="265" t="str">
        <f>VLOOKUP($A373,Questions!$A$3:$X$333,19,0)&amp;""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74" spans="1:4" ht="36" hidden="1" customHeight="1" x14ac:dyDescent="0.2">
      <c r="A374" s="265" t="s">
        <v>424</v>
      </c>
      <c r="B374" s="265" t="str">
        <f>VLOOKUP($A374,Questions!$A$3:$X$333,2,0)&amp;""</f>
        <v>Do you provide choice to the user to opt out of AI use?</v>
      </c>
      <c r="C374" s="265" t="str">
        <f>VLOOKUP($A374,Questions!$A$3:$X$333,18,0)&amp;""</f>
        <v>Please explain why this does not apply to your product or service.</v>
      </c>
      <c r="D374" s="265" t="str">
        <f>VLOOKUP($A374,Questions!$A$3:$X$333,19,0)&amp;""</f>
        <v>To ensure user autonomy regarding AI processing of their data and compliance with emerging AI transparency requirements and ethical principles around algorithmic decision-making.</v>
      </c>
    </row>
  </sheetData>
  <hyperlinks>
    <hyperlink ref="A3" r:id="rId1" xr:uid="{00000000-0004-0000-0B00-000000000000}"/>
    <hyperlink ref="A4" r:id="rId2" xr:uid="{00000000-0004-0000-0B00-000001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X963"/>
  <sheetViews>
    <sheetView workbookViewId="0">
      <pane xSplit="2" ySplit="2" topLeftCell="C3" activePane="bottomRight" state="frozen"/>
      <selection pane="topRight"/>
      <selection pane="bottomLeft"/>
      <selection pane="bottomRight" activeCell="C3" sqref="C3"/>
    </sheetView>
  </sheetViews>
  <sheetFormatPr baseColWidth="10" defaultColWidth="8.75" defaultRowHeight="14" x14ac:dyDescent="0.2"/>
  <cols>
    <col min="1" max="1" width="8.75" style="272"/>
    <col min="2" max="2" width="35.625" style="272" customWidth="1"/>
    <col min="3" max="3" width="6.25" style="272" customWidth="1"/>
    <col min="4" max="4" width="5.875" style="272" customWidth="1"/>
    <col min="5" max="5" width="6.625" style="272" customWidth="1"/>
    <col min="6" max="7" width="7.25" style="272" customWidth="1"/>
    <col min="8" max="9" width="7.5" style="272" customWidth="1"/>
    <col min="10" max="10" width="6.875" style="272" customWidth="1"/>
    <col min="11" max="11" width="15.375" style="272" customWidth="1"/>
    <col min="12" max="12" width="12.625" style="272" customWidth="1"/>
    <col min="13" max="13" width="8.75" style="272"/>
    <col min="14" max="20" width="18.25" style="272" customWidth="1"/>
    <col min="21" max="22" width="8.75" style="272"/>
    <col min="23" max="23" width="10.875" style="272" customWidth="1"/>
    <col min="24" max="24" width="11.25" style="272" customWidth="1"/>
    <col min="25" max="16384" width="8.75" style="272"/>
  </cols>
  <sheetData>
    <row r="1" spans="1:24" ht="15.75" hidden="1" customHeight="1" x14ac:dyDescent="0.2">
      <c r="A1" s="273" t="s">
        <v>512</v>
      </c>
    </row>
    <row r="2" spans="1:24" ht="27.75" customHeight="1" x14ac:dyDescent="0.2">
      <c r="A2" s="274" t="s">
        <v>513</v>
      </c>
      <c r="B2" s="274" t="s">
        <v>461</v>
      </c>
      <c r="C2" s="275" t="s">
        <v>514</v>
      </c>
      <c r="D2" s="275" t="s">
        <v>515</v>
      </c>
      <c r="E2" s="275" t="s">
        <v>516</v>
      </c>
      <c r="F2" s="275" t="s">
        <v>517</v>
      </c>
      <c r="G2" s="275" t="s">
        <v>518</v>
      </c>
      <c r="H2" s="275" t="s">
        <v>519</v>
      </c>
      <c r="I2" s="275" t="s">
        <v>520</v>
      </c>
      <c r="J2" s="275" t="s">
        <v>521</v>
      </c>
      <c r="K2" s="276" t="s">
        <v>522</v>
      </c>
      <c r="L2" s="275" t="s">
        <v>523</v>
      </c>
      <c r="M2" s="277" t="s">
        <v>524</v>
      </c>
      <c r="N2" s="275" t="s">
        <v>525</v>
      </c>
      <c r="O2" s="275" t="s">
        <v>526</v>
      </c>
      <c r="P2" s="275" t="s">
        <v>527</v>
      </c>
      <c r="Q2" s="275" t="s">
        <v>528</v>
      </c>
      <c r="R2" s="275" t="s">
        <v>529</v>
      </c>
      <c r="S2" s="278" t="s">
        <v>530</v>
      </c>
      <c r="T2" s="278" t="s">
        <v>531</v>
      </c>
      <c r="U2" s="279" t="s">
        <v>463</v>
      </c>
      <c r="V2" s="279" t="s">
        <v>532</v>
      </c>
      <c r="W2" s="279" t="s">
        <v>465</v>
      </c>
      <c r="X2" s="279" t="s">
        <v>533</v>
      </c>
    </row>
    <row r="3" spans="1:24" ht="13.5" customHeight="1" x14ac:dyDescent="0.2">
      <c r="A3" s="280" t="s">
        <v>4</v>
      </c>
      <c r="B3" s="280" t="s">
        <v>534</v>
      </c>
      <c r="C3" s="280">
        <v>1</v>
      </c>
      <c r="D3" s="280">
        <v>1</v>
      </c>
      <c r="E3" s="280">
        <v>1</v>
      </c>
      <c r="F3" s="280">
        <v>1</v>
      </c>
      <c r="G3" s="280">
        <v>1</v>
      </c>
      <c r="H3" s="280">
        <v>1</v>
      </c>
      <c r="I3" s="280">
        <v>1</v>
      </c>
      <c r="J3" s="280">
        <v>1</v>
      </c>
      <c r="K3" s="280" t="s">
        <v>535</v>
      </c>
      <c r="L3" s="280" t="s">
        <v>536</v>
      </c>
      <c r="M3" s="280">
        <v>0</v>
      </c>
      <c r="N3" s="280"/>
      <c r="O3" s="280"/>
      <c r="P3" s="280"/>
      <c r="Q3" s="280"/>
      <c r="R3" s="280"/>
      <c r="S3" s="280"/>
      <c r="T3" s="280"/>
      <c r="U3" s="280" t="s">
        <v>469</v>
      </c>
      <c r="V3" s="280"/>
      <c r="W3" s="280"/>
      <c r="X3" s="280"/>
    </row>
    <row r="4" spans="1:24" ht="13.5" customHeight="1" x14ac:dyDescent="0.2">
      <c r="A4" s="280" t="s">
        <v>6</v>
      </c>
      <c r="B4" s="280" t="s">
        <v>537</v>
      </c>
      <c r="C4" s="280">
        <v>1</v>
      </c>
      <c r="D4" s="280">
        <v>1</v>
      </c>
      <c r="E4" s="280">
        <v>1</v>
      </c>
      <c r="F4" s="280">
        <v>1</v>
      </c>
      <c r="G4" s="280">
        <v>1</v>
      </c>
      <c r="H4" s="280">
        <v>1</v>
      </c>
      <c r="I4" s="280">
        <v>1</v>
      </c>
      <c r="J4" s="280">
        <v>1</v>
      </c>
      <c r="K4" s="280" t="s">
        <v>535</v>
      </c>
      <c r="L4" s="280" t="s">
        <v>536</v>
      </c>
      <c r="M4" s="280" t="s">
        <v>538</v>
      </c>
      <c r="N4" s="280"/>
      <c r="O4" s="280"/>
      <c r="P4" s="280"/>
      <c r="Q4" s="280"/>
      <c r="R4" s="280"/>
      <c r="S4" s="280"/>
      <c r="T4" s="280"/>
      <c r="U4" s="280" t="s">
        <v>469</v>
      </c>
      <c r="V4" s="280"/>
      <c r="W4" s="280"/>
      <c r="X4" s="280"/>
    </row>
    <row r="5" spans="1:24" ht="13.5" customHeight="1" x14ac:dyDescent="0.2">
      <c r="A5" s="280" t="s">
        <v>7</v>
      </c>
      <c r="B5" s="280" t="s">
        <v>539</v>
      </c>
      <c r="C5" s="280">
        <v>1</v>
      </c>
      <c r="D5" s="280">
        <v>1</v>
      </c>
      <c r="E5" s="280">
        <v>1</v>
      </c>
      <c r="F5" s="280">
        <v>1</v>
      </c>
      <c r="G5" s="280">
        <v>1</v>
      </c>
      <c r="H5" s="280">
        <v>1</v>
      </c>
      <c r="I5" s="280">
        <v>1</v>
      </c>
      <c r="J5" s="280">
        <v>1</v>
      </c>
      <c r="K5" s="280" t="s">
        <v>535</v>
      </c>
      <c r="L5" s="280" t="s">
        <v>536</v>
      </c>
      <c r="M5" s="280" t="s">
        <v>538</v>
      </c>
      <c r="N5" s="280"/>
      <c r="O5" s="280"/>
      <c r="P5" s="280"/>
      <c r="Q5" s="280"/>
      <c r="R5" s="280"/>
      <c r="S5" s="280"/>
      <c r="T5" s="280"/>
      <c r="U5" s="280" t="s">
        <v>469</v>
      </c>
      <c r="V5" s="280"/>
      <c r="W5" s="280"/>
      <c r="X5" s="280"/>
    </row>
    <row r="6" spans="1:24" ht="13.5" customHeight="1" x14ac:dyDescent="0.2">
      <c r="A6" s="280" t="s">
        <v>9</v>
      </c>
      <c r="B6" s="280" t="s">
        <v>540</v>
      </c>
      <c r="C6" s="280">
        <v>1</v>
      </c>
      <c r="D6" s="280">
        <v>1</v>
      </c>
      <c r="E6" s="280">
        <v>0</v>
      </c>
      <c r="F6" s="280">
        <v>0</v>
      </c>
      <c r="G6" s="280">
        <v>0</v>
      </c>
      <c r="H6" s="280">
        <v>0</v>
      </c>
      <c r="I6" s="280">
        <v>0</v>
      </c>
      <c r="J6" s="280">
        <v>0</v>
      </c>
      <c r="K6" s="280" t="s">
        <v>535</v>
      </c>
      <c r="L6" s="280" t="s">
        <v>536</v>
      </c>
      <c r="M6" s="280" t="s">
        <v>538</v>
      </c>
      <c r="N6" s="280"/>
      <c r="O6" s="280"/>
      <c r="P6" s="280"/>
      <c r="Q6" s="280"/>
      <c r="R6" s="280"/>
      <c r="S6" s="280"/>
      <c r="T6" s="280"/>
      <c r="U6" s="280" t="s">
        <v>469</v>
      </c>
      <c r="V6" s="280"/>
      <c r="W6" s="280"/>
      <c r="X6" s="280"/>
    </row>
    <row r="7" spans="1:24" ht="13.5" customHeight="1" x14ac:dyDescent="0.2">
      <c r="A7" s="280" t="s">
        <v>11</v>
      </c>
      <c r="B7" s="280" t="s">
        <v>541</v>
      </c>
      <c r="C7" s="280">
        <v>1</v>
      </c>
      <c r="D7" s="280">
        <v>1</v>
      </c>
      <c r="E7" s="280">
        <v>0</v>
      </c>
      <c r="F7" s="280">
        <v>0</v>
      </c>
      <c r="G7" s="280">
        <v>0</v>
      </c>
      <c r="H7" s="280">
        <v>0</v>
      </c>
      <c r="I7" s="280">
        <v>0</v>
      </c>
      <c r="J7" s="280">
        <v>0</v>
      </c>
      <c r="K7" s="280" t="s">
        <v>535</v>
      </c>
      <c r="L7" s="280" t="s">
        <v>536</v>
      </c>
      <c r="M7" s="280" t="s">
        <v>538</v>
      </c>
      <c r="N7" s="280"/>
      <c r="O7" s="280"/>
      <c r="P7" s="280"/>
      <c r="Q7" s="280"/>
      <c r="R7" s="280"/>
      <c r="S7" s="280"/>
      <c r="T7" s="280"/>
      <c r="U7" s="280" t="s">
        <v>469</v>
      </c>
      <c r="V7" s="280"/>
      <c r="W7" s="280"/>
      <c r="X7" s="280"/>
    </row>
    <row r="8" spans="1:24" ht="13.5" customHeight="1" x14ac:dyDescent="0.2">
      <c r="A8" s="280" t="s">
        <v>13</v>
      </c>
      <c r="B8" s="280" t="s">
        <v>542</v>
      </c>
      <c r="C8" s="280">
        <v>1</v>
      </c>
      <c r="D8" s="280">
        <v>1</v>
      </c>
      <c r="E8" s="280">
        <v>0</v>
      </c>
      <c r="F8" s="280">
        <v>0</v>
      </c>
      <c r="G8" s="280">
        <v>0</v>
      </c>
      <c r="H8" s="280">
        <v>0</v>
      </c>
      <c r="I8" s="280">
        <v>0</v>
      </c>
      <c r="J8" s="280">
        <v>0</v>
      </c>
      <c r="K8" s="280" t="s">
        <v>535</v>
      </c>
      <c r="L8" s="280" t="s">
        <v>536</v>
      </c>
      <c r="M8" s="280" t="s">
        <v>538</v>
      </c>
      <c r="N8" s="280"/>
      <c r="O8" s="280"/>
      <c r="P8" s="280"/>
      <c r="Q8" s="280"/>
      <c r="R8" s="280"/>
      <c r="S8" s="280"/>
      <c r="T8" s="280"/>
      <c r="U8" s="280" t="s">
        <v>469</v>
      </c>
      <c r="V8" s="280"/>
      <c r="W8" s="280"/>
      <c r="X8" s="280"/>
    </row>
    <row r="9" spans="1:24" ht="13.5" customHeight="1" x14ac:dyDescent="0.2">
      <c r="A9" s="280" t="s">
        <v>15</v>
      </c>
      <c r="B9" s="280" t="s">
        <v>543</v>
      </c>
      <c r="C9" s="280">
        <v>1</v>
      </c>
      <c r="D9" s="280">
        <v>1</v>
      </c>
      <c r="E9" s="280">
        <v>0</v>
      </c>
      <c r="F9" s="280">
        <v>0</v>
      </c>
      <c r="G9" s="280">
        <v>0</v>
      </c>
      <c r="H9" s="280">
        <v>0</v>
      </c>
      <c r="I9" s="280">
        <v>0</v>
      </c>
      <c r="J9" s="280">
        <v>0</v>
      </c>
      <c r="K9" s="280" t="s">
        <v>535</v>
      </c>
      <c r="L9" s="280" t="s">
        <v>536</v>
      </c>
      <c r="M9" s="280" t="s">
        <v>538</v>
      </c>
      <c r="N9" s="280"/>
      <c r="O9" s="280"/>
      <c r="P9" s="280"/>
      <c r="Q9" s="280"/>
      <c r="R9" s="280"/>
      <c r="S9" s="280"/>
      <c r="T9" s="280"/>
      <c r="U9" s="280" t="s">
        <v>469</v>
      </c>
      <c r="V9" s="280"/>
      <c r="W9" s="280"/>
      <c r="X9" s="280"/>
    </row>
    <row r="10" spans="1:24" ht="13.5" customHeight="1" x14ac:dyDescent="0.2">
      <c r="A10" s="280" t="s">
        <v>17</v>
      </c>
      <c r="B10" s="280" t="s">
        <v>544</v>
      </c>
      <c r="C10" s="280">
        <v>1</v>
      </c>
      <c r="D10" s="280">
        <v>1</v>
      </c>
      <c r="E10" s="280">
        <v>1</v>
      </c>
      <c r="F10" s="280">
        <v>1</v>
      </c>
      <c r="G10" s="280">
        <v>1</v>
      </c>
      <c r="H10" s="280">
        <v>1</v>
      </c>
      <c r="I10" s="280">
        <v>1</v>
      </c>
      <c r="J10" s="280">
        <v>1</v>
      </c>
      <c r="K10" s="280" t="s">
        <v>535</v>
      </c>
      <c r="L10" s="280" t="s">
        <v>536</v>
      </c>
      <c r="M10" s="280"/>
      <c r="N10" s="280"/>
      <c r="O10" s="280"/>
      <c r="P10" s="280"/>
      <c r="Q10" s="280"/>
      <c r="R10" s="280"/>
      <c r="S10" s="280"/>
      <c r="T10" s="280"/>
      <c r="U10" s="280" t="s">
        <v>469</v>
      </c>
      <c r="V10" s="280"/>
      <c r="W10" s="280"/>
      <c r="X10" s="280"/>
    </row>
    <row r="11" spans="1:24" ht="42" customHeight="1" x14ac:dyDescent="0.2">
      <c r="A11" s="280" t="s">
        <v>19</v>
      </c>
      <c r="B11" s="280" t="s">
        <v>545</v>
      </c>
      <c r="C11" s="280">
        <v>1</v>
      </c>
      <c r="D11" s="280">
        <v>0</v>
      </c>
      <c r="E11" s="280">
        <v>0</v>
      </c>
      <c r="F11" s="280">
        <v>0</v>
      </c>
      <c r="G11" s="280">
        <v>0</v>
      </c>
      <c r="H11" s="280">
        <v>0</v>
      </c>
      <c r="I11" s="280">
        <v>0</v>
      </c>
      <c r="J11" s="280">
        <v>1</v>
      </c>
      <c r="K11" s="280" t="s">
        <v>535</v>
      </c>
      <c r="L11" s="280" t="s">
        <v>536</v>
      </c>
      <c r="M11" s="280" t="s">
        <v>538</v>
      </c>
      <c r="N11" s="280"/>
      <c r="O11" s="280"/>
      <c r="P11" s="280"/>
      <c r="Q11" s="280"/>
      <c r="R11" s="280"/>
      <c r="S11" s="280" t="s">
        <v>546</v>
      </c>
      <c r="T11" s="280" t="s">
        <v>547</v>
      </c>
      <c r="U11" s="280" t="s">
        <v>469</v>
      </c>
      <c r="V11" s="280"/>
      <c r="W11" s="280"/>
      <c r="X11" s="280"/>
    </row>
    <row r="12" spans="1:24" ht="237.75" customHeight="1" x14ac:dyDescent="0.2">
      <c r="A12" s="281" t="s">
        <v>25</v>
      </c>
      <c r="B12" s="281" t="s">
        <v>548</v>
      </c>
      <c r="C12" s="280">
        <v>1</v>
      </c>
      <c r="D12" s="280">
        <v>0</v>
      </c>
      <c r="E12" s="280">
        <v>0</v>
      </c>
      <c r="F12" s="280">
        <v>0</v>
      </c>
      <c r="G12" s="280">
        <v>0</v>
      </c>
      <c r="H12" s="280">
        <v>0</v>
      </c>
      <c r="I12" s="280">
        <v>0</v>
      </c>
      <c r="J12" s="280">
        <v>1</v>
      </c>
      <c r="K12" s="280"/>
      <c r="L12" s="280" t="s">
        <v>549</v>
      </c>
      <c r="M12" s="280" t="s">
        <v>538</v>
      </c>
      <c r="N12" s="280"/>
      <c r="O12" s="280"/>
      <c r="P12" s="280" t="s">
        <v>550</v>
      </c>
      <c r="Q12" s="280" t="s">
        <v>551</v>
      </c>
      <c r="R12" s="280" t="s">
        <v>552</v>
      </c>
      <c r="S12" s="280" t="s">
        <v>553</v>
      </c>
      <c r="T12" s="280" t="s">
        <v>554</v>
      </c>
      <c r="U12" s="280" t="s">
        <v>30</v>
      </c>
      <c r="V12" s="280" t="s">
        <v>538</v>
      </c>
      <c r="W12" s="280" t="s">
        <v>555</v>
      </c>
      <c r="X12" s="280">
        <f>IF($W12="Critical Importance",20,IF($W12="Minor Importance",5,10))</f>
        <v>10</v>
      </c>
    </row>
    <row r="13" spans="1:24" ht="111.75" customHeight="1" x14ac:dyDescent="0.2">
      <c r="A13" s="280" t="s">
        <v>27</v>
      </c>
      <c r="B13" s="280" t="s">
        <v>556</v>
      </c>
      <c r="C13" s="280">
        <v>1</v>
      </c>
      <c r="D13" s="280">
        <v>0</v>
      </c>
      <c r="E13" s="280">
        <v>0</v>
      </c>
      <c r="F13" s="280">
        <v>0</v>
      </c>
      <c r="G13" s="280">
        <v>0</v>
      </c>
      <c r="H13" s="280">
        <v>0</v>
      </c>
      <c r="I13" s="280">
        <v>0</v>
      </c>
      <c r="J13" s="280">
        <v>1</v>
      </c>
      <c r="K13" s="280"/>
      <c r="L13" s="280" t="s">
        <v>469</v>
      </c>
      <c r="M13" s="280" t="s">
        <v>538</v>
      </c>
      <c r="N13" s="280"/>
      <c r="O13" s="280" t="s">
        <v>557</v>
      </c>
      <c r="P13" s="280" t="s">
        <v>557</v>
      </c>
      <c r="Q13" s="280" t="s">
        <v>557</v>
      </c>
      <c r="R13" s="280"/>
      <c r="S13" s="280" t="s">
        <v>558</v>
      </c>
      <c r="T13" s="280" t="s">
        <v>559</v>
      </c>
      <c r="U13" s="280" t="s">
        <v>469</v>
      </c>
      <c r="V13" s="280" t="s">
        <v>538</v>
      </c>
      <c r="W13" s="280"/>
      <c r="X13" s="280"/>
    </row>
    <row r="14" spans="1:24" ht="168" customHeight="1" x14ac:dyDescent="0.2">
      <c r="A14" s="280" t="s">
        <v>29</v>
      </c>
      <c r="B14" s="280" t="s">
        <v>560</v>
      </c>
      <c r="C14" s="280">
        <v>1</v>
      </c>
      <c r="D14" s="280">
        <v>0</v>
      </c>
      <c r="E14" s="280">
        <v>0</v>
      </c>
      <c r="F14" s="280">
        <v>0</v>
      </c>
      <c r="G14" s="280">
        <v>0</v>
      </c>
      <c r="H14" s="280">
        <v>0</v>
      </c>
      <c r="I14" s="280">
        <v>0</v>
      </c>
      <c r="J14" s="280">
        <v>1</v>
      </c>
      <c r="K14" s="280"/>
      <c r="L14" s="280" t="s">
        <v>549</v>
      </c>
      <c r="M14" s="280" t="s">
        <v>538</v>
      </c>
      <c r="N14" s="280"/>
      <c r="O14" s="280"/>
      <c r="P14" s="280" t="s">
        <v>561</v>
      </c>
      <c r="Q14" s="280"/>
      <c r="R14" s="280"/>
      <c r="S14" s="280" t="s">
        <v>562</v>
      </c>
      <c r="T14" s="280" t="s">
        <v>563</v>
      </c>
      <c r="U14" s="280" t="s">
        <v>30</v>
      </c>
      <c r="V14" s="280" t="s">
        <v>538</v>
      </c>
      <c r="W14" s="280" t="s">
        <v>564</v>
      </c>
      <c r="X14" s="280">
        <f>IF($W14="Critical Importance",20,IF($W14="Minor Importance",5,10))</f>
        <v>5</v>
      </c>
    </row>
    <row r="15" spans="1:24" ht="223.5" customHeight="1" x14ac:dyDescent="0.2">
      <c r="A15" s="280" t="s">
        <v>32</v>
      </c>
      <c r="B15" s="280" t="s">
        <v>565</v>
      </c>
      <c r="C15" s="280">
        <v>1</v>
      </c>
      <c r="D15" s="280">
        <v>0</v>
      </c>
      <c r="E15" s="280">
        <v>0</v>
      </c>
      <c r="F15" s="280">
        <v>0</v>
      </c>
      <c r="G15" s="280">
        <v>0</v>
      </c>
      <c r="H15" s="280">
        <v>0</v>
      </c>
      <c r="I15" s="280">
        <v>0</v>
      </c>
      <c r="J15" s="280">
        <v>1</v>
      </c>
      <c r="K15" s="280"/>
      <c r="L15" s="280" t="s">
        <v>549</v>
      </c>
      <c r="M15" s="280" t="s">
        <v>538</v>
      </c>
      <c r="N15" s="280"/>
      <c r="O15" s="280"/>
      <c r="P15" s="280" t="s">
        <v>566</v>
      </c>
      <c r="Q15" s="280" t="s">
        <v>567</v>
      </c>
      <c r="R15" s="280"/>
      <c r="S15" s="280" t="s">
        <v>568</v>
      </c>
      <c r="T15" s="280" t="s">
        <v>569</v>
      </c>
      <c r="U15" s="280" t="s">
        <v>30</v>
      </c>
      <c r="V15" s="280" t="s">
        <v>538</v>
      </c>
      <c r="W15" s="280" t="s">
        <v>564</v>
      </c>
      <c r="X15" s="280">
        <f>IF($W15="Critical Importance",20,IF($W15="Minor Importance",5,10))</f>
        <v>5</v>
      </c>
    </row>
    <row r="16" spans="1:24" ht="195.75" customHeight="1" x14ac:dyDescent="0.2">
      <c r="A16" s="280" t="s">
        <v>33</v>
      </c>
      <c r="B16" s="280" t="s">
        <v>570</v>
      </c>
      <c r="C16" s="280">
        <v>1</v>
      </c>
      <c r="D16" s="280">
        <v>0</v>
      </c>
      <c r="E16" s="280">
        <v>0</v>
      </c>
      <c r="F16" s="280">
        <v>0</v>
      </c>
      <c r="G16" s="280">
        <v>0</v>
      </c>
      <c r="H16" s="280">
        <v>0</v>
      </c>
      <c r="I16" s="280">
        <v>0</v>
      </c>
      <c r="J16" s="280">
        <v>0</v>
      </c>
      <c r="K16" s="280"/>
      <c r="L16" s="280" t="s">
        <v>536</v>
      </c>
      <c r="M16" s="280">
        <v>0</v>
      </c>
      <c r="N16" s="280"/>
      <c r="O16" s="280" t="s">
        <v>571</v>
      </c>
      <c r="P16" s="280" t="s">
        <v>571</v>
      </c>
      <c r="Q16" s="280" t="s">
        <v>571</v>
      </c>
      <c r="R16" s="280"/>
      <c r="S16" s="280" t="s">
        <v>572</v>
      </c>
      <c r="T16" s="280" t="s">
        <v>573</v>
      </c>
      <c r="U16" s="280" t="s">
        <v>469</v>
      </c>
      <c r="V16" s="280"/>
      <c r="W16" s="280"/>
      <c r="X16" s="280"/>
    </row>
    <row r="17" spans="1:24" ht="55.5" customHeight="1" x14ac:dyDescent="0.2">
      <c r="A17" s="280" t="s">
        <v>36</v>
      </c>
      <c r="B17" s="282" t="s">
        <v>574</v>
      </c>
      <c r="C17" s="280">
        <v>1</v>
      </c>
      <c r="D17" s="280">
        <v>0</v>
      </c>
      <c r="E17" s="280">
        <v>1</v>
      </c>
      <c r="F17" s="280">
        <v>1</v>
      </c>
      <c r="G17" s="280">
        <v>0</v>
      </c>
      <c r="H17" s="280">
        <v>0</v>
      </c>
      <c r="I17" s="280">
        <v>0</v>
      </c>
      <c r="J17" s="280">
        <v>0</v>
      </c>
      <c r="K17" s="280" t="s">
        <v>535</v>
      </c>
      <c r="L17" s="280" t="s">
        <v>536</v>
      </c>
      <c r="M17" s="280"/>
      <c r="N17" s="280"/>
      <c r="O17" s="280" t="s">
        <v>575</v>
      </c>
      <c r="P17" s="280" t="s">
        <v>576</v>
      </c>
      <c r="Q17" s="280" t="s">
        <v>577</v>
      </c>
      <c r="R17" s="280"/>
      <c r="S17" s="280"/>
      <c r="T17" s="280"/>
      <c r="U17" s="280" t="s">
        <v>469</v>
      </c>
      <c r="V17" s="280"/>
      <c r="W17" s="280"/>
      <c r="X17" s="280"/>
    </row>
    <row r="18" spans="1:24" ht="69.75" customHeight="1" x14ac:dyDescent="0.2">
      <c r="A18" s="280" t="s">
        <v>38</v>
      </c>
      <c r="B18" s="280" t="s">
        <v>578</v>
      </c>
      <c r="C18" s="280">
        <v>1</v>
      </c>
      <c r="D18" s="280">
        <v>0</v>
      </c>
      <c r="E18" s="280">
        <v>0</v>
      </c>
      <c r="F18" s="280">
        <v>0</v>
      </c>
      <c r="G18" s="280">
        <v>1</v>
      </c>
      <c r="H18" s="280">
        <v>0</v>
      </c>
      <c r="I18" s="280">
        <v>0</v>
      </c>
      <c r="J18" s="280">
        <v>0</v>
      </c>
      <c r="K18" s="280" t="s">
        <v>535</v>
      </c>
      <c r="L18" s="280" t="s">
        <v>536</v>
      </c>
      <c r="M18" s="280"/>
      <c r="N18" s="280"/>
      <c r="O18" s="280" t="s">
        <v>579</v>
      </c>
      <c r="P18" s="280" t="s">
        <v>580</v>
      </c>
      <c r="Q18" s="280" t="s">
        <v>581</v>
      </c>
      <c r="R18" s="280"/>
      <c r="S18" s="280"/>
      <c r="T18" s="280"/>
      <c r="U18" s="280" t="s">
        <v>469</v>
      </c>
      <c r="V18" s="280"/>
      <c r="W18" s="280"/>
      <c r="X18" s="280"/>
    </row>
    <row r="19" spans="1:24" ht="42" customHeight="1" x14ac:dyDescent="0.2">
      <c r="A19" s="280" t="s">
        <v>40</v>
      </c>
      <c r="B19" s="280" t="s">
        <v>582</v>
      </c>
      <c r="C19" s="280">
        <v>1</v>
      </c>
      <c r="D19" s="280">
        <v>0</v>
      </c>
      <c r="E19" s="280">
        <v>0</v>
      </c>
      <c r="F19" s="280">
        <v>0</v>
      </c>
      <c r="G19" s="280">
        <v>0</v>
      </c>
      <c r="H19" s="280">
        <v>1</v>
      </c>
      <c r="I19" s="280">
        <v>0</v>
      </c>
      <c r="J19" s="280">
        <v>0</v>
      </c>
      <c r="K19" s="280" t="s">
        <v>535</v>
      </c>
      <c r="L19" s="280" t="s">
        <v>536</v>
      </c>
      <c r="M19" s="280"/>
      <c r="N19" s="280"/>
      <c r="O19" s="280"/>
      <c r="P19" s="280" t="s">
        <v>583</v>
      </c>
      <c r="Q19" s="280" t="s">
        <v>584</v>
      </c>
      <c r="R19" s="280"/>
      <c r="S19" s="280"/>
      <c r="T19" s="280"/>
      <c r="U19" s="280" t="s">
        <v>469</v>
      </c>
      <c r="V19" s="280"/>
      <c r="W19" s="280"/>
      <c r="X19" s="280"/>
    </row>
    <row r="20" spans="1:24" ht="42" customHeight="1" x14ac:dyDescent="0.2">
      <c r="A20" s="280" t="s">
        <v>42</v>
      </c>
      <c r="B20" s="280" t="s">
        <v>585</v>
      </c>
      <c r="C20" s="280">
        <v>1</v>
      </c>
      <c r="D20" s="280">
        <v>0</v>
      </c>
      <c r="E20" s="280">
        <v>0</v>
      </c>
      <c r="F20" s="280">
        <v>0</v>
      </c>
      <c r="G20" s="280">
        <v>0</v>
      </c>
      <c r="H20" s="280">
        <v>0</v>
      </c>
      <c r="I20" s="280">
        <v>1</v>
      </c>
      <c r="J20" s="280">
        <v>1</v>
      </c>
      <c r="K20" s="280" t="s">
        <v>535</v>
      </c>
      <c r="L20" s="280" t="s">
        <v>536</v>
      </c>
      <c r="M20" s="280"/>
      <c r="N20" s="280"/>
      <c r="O20" s="280"/>
      <c r="P20" s="280" t="s">
        <v>586</v>
      </c>
      <c r="Q20" s="280" t="s">
        <v>587</v>
      </c>
      <c r="R20" s="280"/>
      <c r="S20" s="280"/>
      <c r="T20" s="280"/>
      <c r="U20" s="280" t="s">
        <v>469</v>
      </c>
      <c r="V20" s="280"/>
      <c r="W20" s="280"/>
      <c r="X20" s="280"/>
    </row>
    <row r="21" spans="1:24" ht="69.75" customHeight="1" x14ac:dyDescent="0.2">
      <c r="A21" s="280" t="s">
        <v>44</v>
      </c>
      <c r="B21" s="280" t="s">
        <v>588</v>
      </c>
      <c r="C21" s="280">
        <v>1</v>
      </c>
      <c r="D21" s="280">
        <v>0</v>
      </c>
      <c r="E21" s="280">
        <v>0</v>
      </c>
      <c r="F21" s="280">
        <v>0</v>
      </c>
      <c r="G21" s="280">
        <v>0</v>
      </c>
      <c r="H21" s="280">
        <v>1</v>
      </c>
      <c r="I21" s="280">
        <v>0</v>
      </c>
      <c r="J21" s="280">
        <v>1</v>
      </c>
      <c r="K21" s="280" t="s">
        <v>535</v>
      </c>
      <c r="L21" s="280" t="s">
        <v>536</v>
      </c>
      <c r="M21" s="280" t="s">
        <v>538</v>
      </c>
      <c r="N21" s="280"/>
      <c r="O21" s="280" t="s">
        <v>589</v>
      </c>
      <c r="P21" s="280" t="s">
        <v>590</v>
      </c>
      <c r="Q21" s="280" t="s">
        <v>591</v>
      </c>
      <c r="R21" s="280"/>
      <c r="S21" s="280"/>
      <c r="T21" s="280"/>
      <c r="U21" s="280" t="s">
        <v>469</v>
      </c>
      <c r="V21" s="280"/>
      <c r="W21" s="280"/>
      <c r="X21" s="280"/>
    </row>
    <row r="22" spans="1:24" ht="55.5" customHeight="1" x14ac:dyDescent="0.2">
      <c r="A22" s="280" t="s">
        <v>46</v>
      </c>
      <c r="B22" s="280" t="s">
        <v>592</v>
      </c>
      <c r="C22" s="280">
        <v>1</v>
      </c>
      <c r="D22" s="280">
        <v>0</v>
      </c>
      <c r="E22" s="280">
        <v>0</v>
      </c>
      <c r="F22" s="280">
        <v>0</v>
      </c>
      <c r="G22" s="280">
        <v>0</v>
      </c>
      <c r="H22" s="280">
        <v>1</v>
      </c>
      <c r="I22" s="280">
        <v>0</v>
      </c>
      <c r="J22" s="280">
        <v>1</v>
      </c>
      <c r="K22" s="280" t="s">
        <v>535</v>
      </c>
      <c r="L22" s="280" t="s">
        <v>536</v>
      </c>
      <c r="M22" s="280" t="s">
        <v>538</v>
      </c>
      <c r="N22" s="280"/>
      <c r="O22" s="280" t="s">
        <v>593</v>
      </c>
      <c r="P22" s="280" t="s">
        <v>594</v>
      </c>
      <c r="Q22" s="280" t="s">
        <v>595</v>
      </c>
      <c r="R22" s="280"/>
      <c r="S22" s="280"/>
      <c r="T22" s="280"/>
      <c r="U22" s="280" t="s">
        <v>469</v>
      </c>
      <c r="V22" s="280"/>
      <c r="W22" s="280"/>
      <c r="X22" s="280"/>
    </row>
    <row r="23" spans="1:24" ht="93.75" customHeight="1" x14ac:dyDescent="0.2">
      <c r="A23" s="280" t="s">
        <v>48</v>
      </c>
      <c r="B23" s="280" t="s">
        <v>596</v>
      </c>
      <c r="C23" s="280">
        <v>1</v>
      </c>
      <c r="D23" s="280">
        <v>0</v>
      </c>
      <c r="E23" s="280">
        <v>0</v>
      </c>
      <c r="F23" s="280">
        <v>0</v>
      </c>
      <c r="G23" s="280">
        <v>0</v>
      </c>
      <c r="H23" s="280">
        <v>1</v>
      </c>
      <c r="I23" s="280">
        <v>0</v>
      </c>
      <c r="J23" s="280">
        <v>0</v>
      </c>
      <c r="K23" s="280" t="s">
        <v>535</v>
      </c>
      <c r="L23" s="280" t="s">
        <v>536</v>
      </c>
      <c r="M23" s="280"/>
      <c r="N23" s="280"/>
      <c r="O23" s="280"/>
      <c r="P23" s="280" t="s">
        <v>597</v>
      </c>
      <c r="Q23" s="280" t="s">
        <v>598</v>
      </c>
      <c r="R23" s="280"/>
      <c r="S23" s="280"/>
      <c r="T23" s="280"/>
      <c r="U23" s="280" t="s">
        <v>469</v>
      </c>
      <c r="V23" s="280"/>
      <c r="W23" s="280"/>
      <c r="X23" s="280"/>
    </row>
    <row r="24" spans="1:24" ht="81.75" customHeight="1" x14ac:dyDescent="0.2">
      <c r="A24" s="280" t="s">
        <v>50</v>
      </c>
      <c r="B24" s="280" t="s">
        <v>599</v>
      </c>
      <c r="C24" s="280">
        <v>1</v>
      </c>
      <c r="D24" s="280">
        <v>0</v>
      </c>
      <c r="E24" s="280">
        <v>0</v>
      </c>
      <c r="F24" s="280">
        <v>0</v>
      </c>
      <c r="G24" s="280">
        <v>0</v>
      </c>
      <c r="H24" s="280">
        <v>0</v>
      </c>
      <c r="I24" s="280">
        <v>0</v>
      </c>
      <c r="J24" s="280">
        <v>1</v>
      </c>
      <c r="K24" s="280" t="s">
        <v>535</v>
      </c>
      <c r="L24" s="280" t="s">
        <v>536</v>
      </c>
      <c r="M24" s="280"/>
      <c r="N24" s="280"/>
      <c r="O24" s="280" t="s">
        <v>600</v>
      </c>
      <c r="P24" s="283" t="s">
        <v>601</v>
      </c>
      <c r="Q24" s="283" t="s">
        <v>602</v>
      </c>
      <c r="R24" s="283"/>
      <c r="S24" s="280"/>
      <c r="T24" s="280"/>
      <c r="U24" s="280" t="s">
        <v>469</v>
      </c>
      <c r="V24" s="280"/>
      <c r="W24" s="280"/>
      <c r="X24" s="280"/>
    </row>
    <row r="25" spans="1:24" ht="168" customHeight="1" x14ac:dyDescent="0.2">
      <c r="A25" s="281" t="s">
        <v>55</v>
      </c>
      <c r="B25" s="281" t="s">
        <v>603</v>
      </c>
      <c r="C25" s="280">
        <v>0</v>
      </c>
      <c r="D25" s="280">
        <v>1</v>
      </c>
      <c r="E25" s="280">
        <v>0</v>
      </c>
      <c r="F25" s="280">
        <v>0</v>
      </c>
      <c r="G25" s="280">
        <v>0</v>
      </c>
      <c r="H25" s="280">
        <v>0</v>
      </c>
      <c r="I25" s="280">
        <v>0</v>
      </c>
      <c r="J25" s="280">
        <v>1</v>
      </c>
      <c r="K25" s="280"/>
      <c r="L25" s="280" t="s">
        <v>604</v>
      </c>
      <c r="M25" s="280"/>
      <c r="N25" s="280"/>
      <c r="O25" s="280"/>
      <c r="P25" s="280"/>
      <c r="Q25" s="280"/>
      <c r="R25" s="284"/>
      <c r="S25" s="280" t="s">
        <v>605</v>
      </c>
      <c r="T25" s="280"/>
      <c r="U25" s="280" t="s">
        <v>30</v>
      </c>
      <c r="V25" s="280"/>
      <c r="W25" s="280" t="s">
        <v>606</v>
      </c>
      <c r="X25" s="280">
        <f t="shared" ref="X25:X31" si="0">IF($W25="Critical Importance",20,IF($W25="Minor Importance",5,10))</f>
        <v>20</v>
      </c>
    </row>
    <row r="26" spans="1:24" ht="168" customHeight="1" x14ac:dyDescent="0.2">
      <c r="A26" s="281" t="s">
        <v>56</v>
      </c>
      <c r="B26" s="281" t="s">
        <v>607</v>
      </c>
      <c r="C26" s="280">
        <v>0</v>
      </c>
      <c r="D26" s="280">
        <v>1</v>
      </c>
      <c r="E26" s="280">
        <v>0</v>
      </c>
      <c r="F26" s="280">
        <v>0</v>
      </c>
      <c r="G26" s="280">
        <v>0</v>
      </c>
      <c r="H26" s="280">
        <v>0</v>
      </c>
      <c r="I26" s="280">
        <v>0</v>
      </c>
      <c r="J26" s="280">
        <v>1</v>
      </c>
      <c r="K26" s="280"/>
      <c r="L26" s="280" t="s">
        <v>604</v>
      </c>
      <c r="M26" s="280"/>
      <c r="N26" s="280"/>
      <c r="O26" s="280"/>
      <c r="P26" s="280"/>
      <c r="Q26" s="280"/>
      <c r="R26" s="280"/>
      <c r="S26" s="280" t="s">
        <v>608</v>
      </c>
      <c r="T26" s="280"/>
      <c r="U26" s="280" t="s">
        <v>30</v>
      </c>
      <c r="V26" s="280"/>
      <c r="W26" s="280" t="s">
        <v>606</v>
      </c>
      <c r="X26" s="280">
        <f t="shared" si="0"/>
        <v>20</v>
      </c>
    </row>
    <row r="27" spans="1:24" ht="126" customHeight="1" x14ac:dyDescent="0.2">
      <c r="A27" s="280" t="s">
        <v>57</v>
      </c>
      <c r="B27" s="280" t="s">
        <v>609</v>
      </c>
      <c r="C27" s="280">
        <v>0</v>
      </c>
      <c r="D27" s="280">
        <v>1</v>
      </c>
      <c r="E27" s="280">
        <v>0</v>
      </c>
      <c r="F27" s="280">
        <v>0</v>
      </c>
      <c r="G27" s="280">
        <v>0</v>
      </c>
      <c r="H27" s="280">
        <v>0</v>
      </c>
      <c r="I27" s="280">
        <v>0</v>
      </c>
      <c r="J27" s="280">
        <v>1</v>
      </c>
      <c r="K27" s="280"/>
      <c r="L27" s="280" t="s">
        <v>604</v>
      </c>
      <c r="M27" s="280" t="s">
        <v>22</v>
      </c>
      <c r="N27" s="280"/>
      <c r="O27" s="280"/>
      <c r="P27" s="280" t="s">
        <v>610</v>
      </c>
      <c r="Q27" s="280" t="s">
        <v>611</v>
      </c>
      <c r="R27" s="280"/>
      <c r="S27" s="280" t="s">
        <v>612</v>
      </c>
      <c r="T27" s="280" t="s">
        <v>613</v>
      </c>
      <c r="U27" s="280" t="s">
        <v>30</v>
      </c>
      <c r="V27" s="280" t="s">
        <v>538</v>
      </c>
      <c r="W27" s="280" t="s">
        <v>555</v>
      </c>
      <c r="X27" s="280">
        <f t="shared" si="0"/>
        <v>10</v>
      </c>
    </row>
    <row r="28" spans="1:24" ht="223.5" customHeight="1" x14ac:dyDescent="0.2">
      <c r="A28" s="280" t="s">
        <v>58</v>
      </c>
      <c r="B28" s="280" t="s">
        <v>614</v>
      </c>
      <c r="C28" s="280">
        <v>0</v>
      </c>
      <c r="D28" s="280">
        <v>1</v>
      </c>
      <c r="E28" s="280">
        <v>0</v>
      </c>
      <c r="F28" s="280">
        <v>0</v>
      </c>
      <c r="G28" s="280">
        <v>0</v>
      </c>
      <c r="H28" s="280">
        <v>0</v>
      </c>
      <c r="I28" s="280">
        <v>0</v>
      </c>
      <c r="J28" s="280">
        <v>1</v>
      </c>
      <c r="K28" s="280"/>
      <c r="L28" s="280" t="s">
        <v>604</v>
      </c>
      <c r="M28" s="280" t="s">
        <v>22</v>
      </c>
      <c r="N28" s="280"/>
      <c r="O28" s="280"/>
      <c r="P28" s="280" t="s">
        <v>615</v>
      </c>
      <c r="Q28" s="280" t="s">
        <v>616</v>
      </c>
      <c r="R28" s="280"/>
      <c r="S28" s="280" t="s">
        <v>617</v>
      </c>
      <c r="T28" s="280" t="s">
        <v>618</v>
      </c>
      <c r="U28" s="280" t="s">
        <v>30</v>
      </c>
      <c r="V28" s="280" t="s">
        <v>538</v>
      </c>
      <c r="W28" s="280" t="s">
        <v>555</v>
      </c>
      <c r="X28" s="280">
        <f t="shared" si="0"/>
        <v>10</v>
      </c>
    </row>
    <row r="29" spans="1:24" ht="181.5" customHeight="1" x14ac:dyDescent="0.2">
      <c r="A29" s="280" t="s">
        <v>59</v>
      </c>
      <c r="B29" s="280" t="s">
        <v>619</v>
      </c>
      <c r="C29" s="280">
        <v>0</v>
      </c>
      <c r="D29" s="280">
        <v>1</v>
      </c>
      <c r="E29" s="280">
        <v>0</v>
      </c>
      <c r="F29" s="280">
        <v>0</v>
      </c>
      <c r="G29" s="280">
        <v>0</v>
      </c>
      <c r="H29" s="280">
        <v>0</v>
      </c>
      <c r="I29" s="280">
        <v>0</v>
      </c>
      <c r="J29" s="280">
        <v>1</v>
      </c>
      <c r="K29" s="280"/>
      <c r="L29" s="280" t="s">
        <v>604</v>
      </c>
      <c r="M29" s="280" t="s">
        <v>22</v>
      </c>
      <c r="N29" s="280"/>
      <c r="O29" s="280"/>
      <c r="P29" s="280" t="s">
        <v>620</v>
      </c>
      <c r="Q29" s="280" t="s">
        <v>621</v>
      </c>
      <c r="R29" s="280"/>
      <c r="S29" s="280" t="s">
        <v>622</v>
      </c>
      <c r="T29" s="280" t="s">
        <v>623</v>
      </c>
      <c r="U29" s="280" t="s">
        <v>30</v>
      </c>
      <c r="V29" s="280" t="s">
        <v>538</v>
      </c>
      <c r="W29" s="280" t="s">
        <v>555</v>
      </c>
      <c r="X29" s="280">
        <f t="shared" si="0"/>
        <v>10</v>
      </c>
    </row>
    <row r="30" spans="1:24" ht="181.5" customHeight="1" x14ac:dyDescent="0.2">
      <c r="A30" s="280" t="s">
        <v>60</v>
      </c>
      <c r="B30" s="280" t="s">
        <v>624</v>
      </c>
      <c r="C30" s="280">
        <v>0</v>
      </c>
      <c r="D30" s="280">
        <v>1</v>
      </c>
      <c r="E30" s="280">
        <v>0</v>
      </c>
      <c r="F30" s="280">
        <v>0</v>
      </c>
      <c r="G30" s="280">
        <v>0</v>
      </c>
      <c r="H30" s="280">
        <v>0</v>
      </c>
      <c r="I30" s="280">
        <v>0</v>
      </c>
      <c r="J30" s="280">
        <v>1</v>
      </c>
      <c r="K30" s="280"/>
      <c r="L30" s="280" t="s">
        <v>604</v>
      </c>
      <c r="M30" s="280" t="s">
        <v>22</v>
      </c>
      <c r="N30" s="280"/>
      <c r="O30" s="280"/>
      <c r="P30" s="280" t="s">
        <v>625</v>
      </c>
      <c r="Q30" s="280" t="s">
        <v>626</v>
      </c>
      <c r="R30" s="280"/>
      <c r="S30" s="280" t="s">
        <v>627</v>
      </c>
      <c r="T30" s="280" t="s">
        <v>623</v>
      </c>
      <c r="U30" s="280" t="s">
        <v>30</v>
      </c>
      <c r="V30" s="280" t="s">
        <v>538</v>
      </c>
      <c r="W30" s="280" t="s">
        <v>555</v>
      </c>
      <c r="X30" s="280">
        <f t="shared" si="0"/>
        <v>10</v>
      </c>
    </row>
    <row r="31" spans="1:24" ht="223.5" customHeight="1" x14ac:dyDescent="0.2">
      <c r="A31" s="280" t="s">
        <v>62</v>
      </c>
      <c r="B31" s="280" t="s">
        <v>628</v>
      </c>
      <c r="C31" s="280">
        <v>0</v>
      </c>
      <c r="D31" s="280">
        <v>1</v>
      </c>
      <c r="E31" s="280">
        <v>0</v>
      </c>
      <c r="F31" s="280">
        <v>0</v>
      </c>
      <c r="G31" s="280">
        <v>0</v>
      </c>
      <c r="H31" s="280">
        <v>0</v>
      </c>
      <c r="I31" s="280">
        <v>0</v>
      </c>
      <c r="J31" s="280">
        <v>1</v>
      </c>
      <c r="K31" s="280"/>
      <c r="L31" s="280" t="s">
        <v>604</v>
      </c>
      <c r="M31" s="280" t="s">
        <v>22</v>
      </c>
      <c r="N31" s="280"/>
      <c r="O31" s="280"/>
      <c r="P31" s="280" t="s">
        <v>629</v>
      </c>
      <c r="Q31" s="280" t="s">
        <v>630</v>
      </c>
      <c r="R31" s="280"/>
      <c r="S31" s="280" t="s">
        <v>631</v>
      </c>
      <c r="T31" s="280" t="s">
        <v>632</v>
      </c>
      <c r="U31" s="280" t="s">
        <v>30</v>
      </c>
      <c r="V31" s="280" t="s">
        <v>538</v>
      </c>
      <c r="W31" s="280" t="s">
        <v>555</v>
      </c>
      <c r="X31" s="280">
        <f t="shared" si="0"/>
        <v>10</v>
      </c>
    </row>
    <row r="32" spans="1:24" ht="55.5" customHeight="1" x14ac:dyDescent="0.2">
      <c r="A32" s="283" t="s">
        <v>218</v>
      </c>
      <c r="B32" s="280" t="s">
        <v>633</v>
      </c>
      <c r="C32" s="280">
        <v>0</v>
      </c>
      <c r="D32" s="280">
        <v>0</v>
      </c>
      <c r="E32" s="280">
        <v>0</v>
      </c>
      <c r="F32" s="280">
        <v>0</v>
      </c>
      <c r="G32" s="280">
        <v>1</v>
      </c>
      <c r="H32" s="280">
        <v>0</v>
      </c>
      <c r="I32" s="280">
        <v>0</v>
      </c>
      <c r="J32" s="280">
        <v>0</v>
      </c>
      <c r="K32" s="280" t="s">
        <v>535</v>
      </c>
      <c r="L32" s="280" t="s">
        <v>536</v>
      </c>
      <c r="M32" s="280" t="s">
        <v>538</v>
      </c>
      <c r="N32" s="280" t="s">
        <v>634</v>
      </c>
      <c r="O32" s="280"/>
      <c r="P32" s="280"/>
      <c r="Q32" s="280"/>
      <c r="R32" s="280"/>
      <c r="S32" s="280"/>
      <c r="T32" s="280"/>
      <c r="U32" s="280" t="s">
        <v>469</v>
      </c>
      <c r="V32" s="280"/>
      <c r="W32" s="280"/>
      <c r="X32" s="280"/>
    </row>
    <row r="33" spans="1:24" ht="55.5" customHeight="1" x14ac:dyDescent="0.2">
      <c r="A33" s="283" t="s">
        <v>219</v>
      </c>
      <c r="B33" s="280" t="s">
        <v>635</v>
      </c>
      <c r="C33" s="280">
        <v>0</v>
      </c>
      <c r="D33" s="280">
        <v>0</v>
      </c>
      <c r="E33" s="280">
        <v>0</v>
      </c>
      <c r="F33" s="280">
        <v>0</v>
      </c>
      <c r="G33" s="280">
        <v>1</v>
      </c>
      <c r="H33" s="280">
        <v>0</v>
      </c>
      <c r="I33" s="280">
        <v>0</v>
      </c>
      <c r="J33" s="280">
        <v>0</v>
      </c>
      <c r="K33" s="280" t="s">
        <v>535</v>
      </c>
      <c r="L33" s="280" t="s">
        <v>536</v>
      </c>
      <c r="M33" s="280" t="s">
        <v>538</v>
      </c>
      <c r="N33" s="280" t="s">
        <v>634</v>
      </c>
      <c r="O33" s="280"/>
      <c r="P33" s="280"/>
      <c r="Q33" s="280"/>
      <c r="R33" s="280"/>
      <c r="S33" s="280"/>
      <c r="T33" s="280"/>
      <c r="U33" s="280" t="s">
        <v>469</v>
      </c>
      <c r="V33" s="280"/>
      <c r="W33" s="280"/>
      <c r="X33" s="280"/>
    </row>
    <row r="34" spans="1:24" ht="55.5" customHeight="1" x14ac:dyDescent="0.2">
      <c r="A34" s="283" t="s">
        <v>220</v>
      </c>
      <c r="B34" s="280" t="s">
        <v>636</v>
      </c>
      <c r="C34" s="280">
        <v>0</v>
      </c>
      <c r="D34" s="280">
        <v>0</v>
      </c>
      <c r="E34" s="280">
        <v>0</v>
      </c>
      <c r="F34" s="280">
        <v>0</v>
      </c>
      <c r="G34" s="280">
        <v>1</v>
      </c>
      <c r="H34" s="280">
        <v>0</v>
      </c>
      <c r="I34" s="280">
        <v>0</v>
      </c>
      <c r="J34" s="280">
        <v>0</v>
      </c>
      <c r="K34" s="280" t="s">
        <v>535</v>
      </c>
      <c r="L34" s="280" t="s">
        <v>536</v>
      </c>
      <c r="M34" s="280" t="s">
        <v>538</v>
      </c>
      <c r="N34" s="280" t="s">
        <v>634</v>
      </c>
      <c r="O34" s="280"/>
      <c r="P34" s="280"/>
      <c r="Q34" s="280"/>
      <c r="R34" s="280"/>
      <c r="S34" s="280"/>
      <c r="T34" s="280"/>
      <c r="U34" s="280" t="s">
        <v>469</v>
      </c>
      <c r="V34" s="280"/>
      <c r="W34" s="280"/>
      <c r="X34" s="280"/>
    </row>
    <row r="35" spans="1:24" ht="55.5" customHeight="1" x14ac:dyDescent="0.2">
      <c r="A35" s="283" t="s">
        <v>221</v>
      </c>
      <c r="B35" s="280" t="s">
        <v>637</v>
      </c>
      <c r="C35" s="280">
        <v>0</v>
      </c>
      <c r="D35" s="280">
        <v>0</v>
      </c>
      <c r="E35" s="280">
        <v>0</v>
      </c>
      <c r="F35" s="280">
        <v>0</v>
      </c>
      <c r="G35" s="280">
        <v>1</v>
      </c>
      <c r="H35" s="280">
        <v>0</v>
      </c>
      <c r="I35" s="280">
        <v>0</v>
      </c>
      <c r="J35" s="280">
        <v>0</v>
      </c>
      <c r="K35" s="280" t="s">
        <v>535</v>
      </c>
      <c r="L35" s="280" t="s">
        <v>536</v>
      </c>
      <c r="M35" s="280" t="s">
        <v>538</v>
      </c>
      <c r="N35" s="280" t="s">
        <v>634</v>
      </c>
      <c r="O35" s="280"/>
      <c r="P35" s="280"/>
      <c r="Q35" s="280"/>
      <c r="R35" s="280"/>
      <c r="S35" s="280"/>
      <c r="T35" s="280"/>
      <c r="U35" s="280" t="s">
        <v>469</v>
      </c>
      <c r="V35" s="280"/>
      <c r="W35" s="280"/>
      <c r="X35" s="280"/>
    </row>
    <row r="36" spans="1:24" ht="55.5" customHeight="1" x14ac:dyDescent="0.2">
      <c r="A36" s="283" t="s">
        <v>223</v>
      </c>
      <c r="B36" s="280" t="s">
        <v>638</v>
      </c>
      <c r="C36" s="280">
        <v>0</v>
      </c>
      <c r="D36" s="280">
        <v>0</v>
      </c>
      <c r="E36" s="280">
        <v>0</v>
      </c>
      <c r="F36" s="280">
        <v>0</v>
      </c>
      <c r="G36" s="280">
        <v>1</v>
      </c>
      <c r="H36" s="280">
        <v>0</v>
      </c>
      <c r="I36" s="280">
        <v>0</v>
      </c>
      <c r="J36" s="280">
        <v>0</v>
      </c>
      <c r="K36" s="280"/>
      <c r="L36" s="280" t="s">
        <v>536</v>
      </c>
      <c r="M36" s="280" t="s">
        <v>538</v>
      </c>
      <c r="N36" s="280" t="s">
        <v>634</v>
      </c>
      <c r="O36" s="280" t="s">
        <v>639</v>
      </c>
      <c r="P36" s="280" t="s">
        <v>639</v>
      </c>
      <c r="Q36" s="280" t="s">
        <v>639</v>
      </c>
      <c r="R36" s="280"/>
      <c r="S36" s="280"/>
      <c r="T36" s="280"/>
      <c r="U36" s="280" t="s">
        <v>469</v>
      </c>
      <c r="V36" s="280"/>
      <c r="W36" s="280"/>
      <c r="X36" s="280"/>
    </row>
    <row r="37" spans="1:24" ht="279.75" customHeight="1" x14ac:dyDescent="0.2">
      <c r="A37" s="285" t="s">
        <v>225</v>
      </c>
      <c r="B37" s="281" t="s">
        <v>640</v>
      </c>
      <c r="C37" s="280">
        <v>0</v>
      </c>
      <c r="D37" s="280">
        <v>0</v>
      </c>
      <c r="E37" s="280">
        <v>0</v>
      </c>
      <c r="F37" s="280">
        <v>0</v>
      </c>
      <c r="G37" s="280">
        <v>1</v>
      </c>
      <c r="H37" s="280">
        <v>0</v>
      </c>
      <c r="I37" s="280">
        <v>0</v>
      </c>
      <c r="J37" s="280">
        <v>1</v>
      </c>
      <c r="K37" s="280"/>
      <c r="L37" s="280" t="s">
        <v>641</v>
      </c>
      <c r="M37" s="280" t="s">
        <v>22</v>
      </c>
      <c r="N37" s="280" t="s">
        <v>634</v>
      </c>
      <c r="O37" s="280" t="s">
        <v>642</v>
      </c>
      <c r="P37" s="280" t="s">
        <v>643</v>
      </c>
      <c r="Q37" s="280" t="s">
        <v>644</v>
      </c>
      <c r="R37" s="280"/>
      <c r="S37" s="280" t="s">
        <v>645</v>
      </c>
      <c r="T37" s="280" t="s">
        <v>646</v>
      </c>
      <c r="U37" s="280" t="s">
        <v>30</v>
      </c>
      <c r="V37" s="280" t="s">
        <v>538</v>
      </c>
      <c r="W37" s="280" t="s">
        <v>606</v>
      </c>
      <c r="X37" s="280">
        <f t="shared" ref="X37:X68" si="1">IF($W37="Critical Importance",20,IF($W37="Minor Importance",5,10))</f>
        <v>20</v>
      </c>
    </row>
    <row r="38" spans="1:24" ht="80.25" customHeight="1" x14ac:dyDescent="0.2">
      <c r="A38" s="285" t="s">
        <v>226</v>
      </c>
      <c r="B38" s="281" t="s">
        <v>647</v>
      </c>
      <c r="C38" s="280">
        <v>0</v>
      </c>
      <c r="D38" s="280">
        <v>0</v>
      </c>
      <c r="E38" s="280">
        <v>0</v>
      </c>
      <c r="F38" s="280">
        <v>0</v>
      </c>
      <c r="G38" s="280">
        <v>1</v>
      </c>
      <c r="H38" s="280">
        <v>0</v>
      </c>
      <c r="I38" s="280">
        <v>0</v>
      </c>
      <c r="J38" s="280">
        <v>0</v>
      </c>
      <c r="K38" s="280"/>
      <c r="L38" s="280" t="s">
        <v>641</v>
      </c>
      <c r="M38" s="280"/>
      <c r="N38" s="280" t="s">
        <v>634</v>
      </c>
      <c r="O38" s="280"/>
      <c r="P38" s="280"/>
      <c r="Q38" s="280"/>
      <c r="R38" s="280"/>
      <c r="S38" s="280" t="s">
        <v>648</v>
      </c>
      <c r="T38" s="280"/>
      <c r="U38" s="280" t="s">
        <v>30</v>
      </c>
      <c r="V38" s="280"/>
      <c r="W38" s="280" t="s">
        <v>606</v>
      </c>
      <c r="X38" s="280">
        <f t="shared" si="1"/>
        <v>20</v>
      </c>
    </row>
    <row r="39" spans="1:24" ht="210" customHeight="1" x14ac:dyDescent="0.2">
      <c r="A39" s="285" t="s">
        <v>227</v>
      </c>
      <c r="B39" s="281" t="s">
        <v>649</v>
      </c>
      <c r="C39" s="280">
        <v>0</v>
      </c>
      <c r="D39" s="280">
        <v>0</v>
      </c>
      <c r="E39" s="280">
        <v>0</v>
      </c>
      <c r="F39" s="280">
        <v>0</v>
      </c>
      <c r="G39" s="280">
        <v>1</v>
      </c>
      <c r="H39" s="280">
        <v>0</v>
      </c>
      <c r="I39" s="280">
        <v>0</v>
      </c>
      <c r="J39" s="280">
        <v>0</v>
      </c>
      <c r="K39" s="280"/>
      <c r="L39" s="280" t="s">
        <v>641</v>
      </c>
      <c r="M39" s="280"/>
      <c r="N39" s="280" t="s">
        <v>634</v>
      </c>
      <c r="O39" s="280" t="s">
        <v>650</v>
      </c>
      <c r="P39" s="280" t="s">
        <v>650</v>
      </c>
      <c r="Q39" s="280" t="s">
        <v>650</v>
      </c>
      <c r="R39" s="280"/>
      <c r="S39" s="280" t="s">
        <v>648</v>
      </c>
      <c r="T39" s="280"/>
      <c r="U39" s="280" t="s">
        <v>30</v>
      </c>
      <c r="V39" s="280"/>
      <c r="W39" s="280" t="s">
        <v>606</v>
      </c>
      <c r="X39" s="280">
        <f t="shared" si="1"/>
        <v>20</v>
      </c>
    </row>
    <row r="40" spans="1:24" ht="111.75" customHeight="1" x14ac:dyDescent="0.2">
      <c r="A40" s="285" t="s">
        <v>228</v>
      </c>
      <c r="B40" s="281" t="s">
        <v>651</v>
      </c>
      <c r="C40" s="280">
        <v>0</v>
      </c>
      <c r="D40" s="280">
        <v>0</v>
      </c>
      <c r="E40" s="280">
        <v>0</v>
      </c>
      <c r="F40" s="280">
        <v>0</v>
      </c>
      <c r="G40" s="280">
        <v>1</v>
      </c>
      <c r="H40" s="280">
        <v>0</v>
      </c>
      <c r="I40" s="280">
        <v>0</v>
      </c>
      <c r="J40" s="280">
        <v>0</v>
      </c>
      <c r="K40" s="280"/>
      <c r="L40" s="280" t="s">
        <v>641</v>
      </c>
      <c r="M40" s="280" t="s">
        <v>538</v>
      </c>
      <c r="N40" s="280" t="s">
        <v>634</v>
      </c>
      <c r="O40" s="280" t="s">
        <v>652</v>
      </c>
      <c r="P40" s="280" t="s">
        <v>653</v>
      </c>
      <c r="Q40" s="280" t="s">
        <v>654</v>
      </c>
      <c r="R40" s="280"/>
      <c r="S40" s="280"/>
      <c r="T40" s="280" t="s">
        <v>655</v>
      </c>
      <c r="U40" s="280" t="s">
        <v>30</v>
      </c>
      <c r="V40" s="280" t="s">
        <v>538</v>
      </c>
      <c r="W40" s="280" t="s">
        <v>606</v>
      </c>
      <c r="X40" s="280">
        <f t="shared" si="1"/>
        <v>20</v>
      </c>
    </row>
    <row r="41" spans="1:24" ht="223.5" customHeight="1" x14ac:dyDescent="0.2">
      <c r="A41" s="283" t="s">
        <v>229</v>
      </c>
      <c r="B41" s="280" t="s">
        <v>656</v>
      </c>
      <c r="C41" s="280">
        <v>0</v>
      </c>
      <c r="D41" s="280">
        <v>0</v>
      </c>
      <c r="E41" s="280">
        <v>0</v>
      </c>
      <c r="F41" s="280">
        <v>0</v>
      </c>
      <c r="G41" s="280">
        <v>1</v>
      </c>
      <c r="H41" s="280">
        <v>0</v>
      </c>
      <c r="I41" s="280">
        <v>0</v>
      </c>
      <c r="J41" s="280">
        <v>1</v>
      </c>
      <c r="K41" s="280"/>
      <c r="L41" s="280" t="s">
        <v>641</v>
      </c>
      <c r="M41" s="280" t="s">
        <v>22</v>
      </c>
      <c r="N41" s="280" t="s">
        <v>634</v>
      </c>
      <c r="O41" s="280" t="s">
        <v>657</v>
      </c>
      <c r="P41" s="280" t="s">
        <v>658</v>
      </c>
      <c r="Q41" s="280" t="s">
        <v>659</v>
      </c>
      <c r="R41" s="280"/>
      <c r="S41" s="280" t="s">
        <v>660</v>
      </c>
      <c r="T41" s="280" t="s">
        <v>661</v>
      </c>
      <c r="U41" s="280" t="s">
        <v>30</v>
      </c>
      <c r="V41" s="280" t="s">
        <v>538</v>
      </c>
      <c r="W41" s="280" t="s">
        <v>555</v>
      </c>
      <c r="X41" s="280">
        <f t="shared" si="1"/>
        <v>10</v>
      </c>
    </row>
    <row r="42" spans="1:24" ht="181.5" customHeight="1" x14ac:dyDescent="0.2">
      <c r="A42" s="283" t="s">
        <v>230</v>
      </c>
      <c r="B42" s="280" t="s">
        <v>662</v>
      </c>
      <c r="C42" s="280">
        <v>0</v>
      </c>
      <c r="D42" s="280">
        <v>0</v>
      </c>
      <c r="E42" s="280">
        <v>0</v>
      </c>
      <c r="F42" s="280">
        <v>0</v>
      </c>
      <c r="G42" s="280">
        <v>1</v>
      </c>
      <c r="H42" s="280">
        <v>0</v>
      </c>
      <c r="I42" s="280">
        <v>0</v>
      </c>
      <c r="J42" s="280">
        <v>0</v>
      </c>
      <c r="K42" s="280"/>
      <c r="L42" s="280" t="s">
        <v>641</v>
      </c>
      <c r="M42" s="280" t="s">
        <v>538</v>
      </c>
      <c r="N42" s="280" t="s">
        <v>634</v>
      </c>
      <c r="O42" s="280" t="s">
        <v>663</v>
      </c>
      <c r="P42" s="280" t="s">
        <v>664</v>
      </c>
      <c r="Q42" s="280" t="s">
        <v>665</v>
      </c>
      <c r="R42" s="280"/>
      <c r="S42" s="280" t="s">
        <v>666</v>
      </c>
      <c r="T42" s="280"/>
      <c r="U42" s="280" t="s">
        <v>30</v>
      </c>
      <c r="V42" s="280" t="s">
        <v>538</v>
      </c>
      <c r="W42" s="280" t="s">
        <v>555</v>
      </c>
      <c r="X42" s="280">
        <f t="shared" si="1"/>
        <v>10</v>
      </c>
    </row>
    <row r="43" spans="1:24" ht="336" customHeight="1" x14ac:dyDescent="0.2">
      <c r="A43" s="283" t="s">
        <v>231</v>
      </c>
      <c r="B43" s="280" t="s">
        <v>667</v>
      </c>
      <c r="C43" s="280">
        <v>0</v>
      </c>
      <c r="D43" s="280">
        <v>0</v>
      </c>
      <c r="E43" s="280">
        <v>0</v>
      </c>
      <c r="F43" s="280">
        <v>0</v>
      </c>
      <c r="G43" s="280">
        <v>1</v>
      </c>
      <c r="H43" s="280">
        <v>0</v>
      </c>
      <c r="I43" s="280">
        <v>0</v>
      </c>
      <c r="J43" s="280">
        <v>0</v>
      </c>
      <c r="K43" s="280"/>
      <c r="L43" s="280" t="s">
        <v>641</v>
      </c>
      <c r="M43" s="280" t="s">
        <v>538</v>
      </c>
      <c r="N43" s="280" t="s">
        <v>634</v>
      </c>
      <c r="O43" s="280"/>
      <c r="P43" s="280" t="s">
        <v>668</v>
      </c>
      <c r="Q43" s="280" t="s">
        <v>669</v>
      </c>
      <c r="R43" s="280"/>
      <c r="S43" s="280" t="s">
        <v>670</v>
      </c>
      <c r="T43" s="280"/>
      <c r="U43" s="280" t="s">
        <v>30</v>
      </c>
      <c r="V43" s="280" t="s">
        <v>538</v>
      </c>
      <c r="W43" s="280" t="s">
        <v>555</v>
      </c>
      <c r="X43" s="280">
        <f t="shared" si="1"/>
        <v>10</v>
      </c>
    </row>
    <row r="44" spans="1:24" ht="168" customHeight="1" x14ac:dyDescent="0.2">
      <c r="A44" s="283" t="s">
        <v>232</v>
      </c>
      <c r="B44" s="280" t="s">
        <v>671</v>
      </c>
      <c r="C44" s="280">
        <v>0</v>
      </c>
      <c r="D44" s="280">
        <v>0</v>
      </c>
      <c r="E44" s="280">
        <v>0</v>
      </c>
      <c r="F44" s="280">
        <v>0</v>
      </c>
      <c r="G44" s="280">
        <v>1</v>
      </c>
      <c r="H44" s="280">
        <v>0</v>
      </c>
      <c r="I44" s="280">
        <v>0</v>
      </c>
      <c r="J44" s="280">
        <v>0</v>
      </c>
      <c r="K44" s="280"/>
      <c r="L44" s="280" t="s">
        <v>641</v>
      </c>
      <c r="M44" s="280" t="s">
        <v>538</v>
      </c>
      <c r="N44" s="280" t="s">
        <v>634</v>
      </c>
      <c r="O44" s="280" t="s">
        <v>672</v>
      </c>
      <c r="P44" s="280" t="s">
        <v>673</v>
      </c>
      <c r="Q44" s="280" t="s">
        <v>674</v>
      </c>
      <c r="R44" s="280"/>
      <c r="S44" s="280" t="s">
        <v>675</v>
      </c>
      <c r="T44" s="280"/>
      <c r="U44" s="280" t="s">
        <v>30</v>
      </c>
      <c r="V44" s="280" t="s">
        <v>538</v>
      </c>
      <c r="W44" s="280" t="s">
        <v>555</v>
      </c>
      <c r="X44" s="280">
        <f t="shared" si="1"/>
        <v>10</v>
      </c>
    </row>
    <row r="45" spans="1:24" ht="210" customHeight="1" x14ac:dyDescent="0.2">
      <c r="A45" s="283" t="s">
        <v>233</v>
      </c>
      <c r="B45" s="280" t="s">
        <v>676</v>
      </c>
      <c r="C45" s="280">
        <v>0</v>
      </c>
      <c r="D45" s="280">
        <v>0</v>
      </c>
      <c r="E45" s="280">
        <v>0</v>
      </c>
      <c r="F45" s="280">
        <v>0</v>
      </c>
      <c r="G45" s="280">
        <v>1</v>
      </c>
      <c r="H45" s="280">
        <v>0</v>
      </c>
      <c r="I45" s="280">
        <v>0</v>
      </c>
      <c r="J45" s="280">
        <v>0</v>
      </c>
      <c r="K45" s="280"/>
      <c r="L45" s="280" t="s">
        <v>641</v>
      </c>
      <c r="M45" s="280" t="s">
        <v>538</v>
      </c>
      <c r="N45" s="280" t="s">
        <v>634</v>
      </c>
      <c r="O45" s="280" t="s">
        <v>677</v>
      </c>
      <c r="P45" s="280" t="s">
        <v>678</v>
      </c>
      <c r="Q45" s="280" t="s">
        <v>679</v>
      </c>
      <c r="R45" s="280"/>
      <c r="S45" s="280" t="s">
        <v>680</v>
      </c>
      <c r="T45" s="280" t="s">
        <v>681</v>
      </c>
      <c r="U45" s="280" t="s">
        <v>30</v>
      </c>
      <c r="V45" s="280" t="s">
        <v>538</v>
      </c>
      <c r="W45" s="280" t="s">
        <v>555</v>
      </c>
      <c r="X45" s="280">
        <f t="shared" si="1"/>
        <v>10</v>
      </c>
    </row>
    <row r="46" spans="1:24" ht="265.5" customHeight="1" x14ac:dyDescent="0.2">
      <c r="A46" s="283" t="s">
        <v>234</v>
      </c>
      <c r="B46" s="280" t="s">
        <v>682</v>
      </c>
      <c r="C46" s="280">
        <v>0</v>
      </c>
      <c r="D46" s="280">
        <v>0</v>
      </c>
      <c r="E46" s="280">
        <v>0</v>
      </c>
      <c r="F46" s="280">
        <v>0</v>
      </c>
      <c r="G46" s="280">
        <v>1</v>
      </c>
      <c r="H46" s="280">
        <v>0</v>
      </c>
      <c r="I46" s="280">
        <v>0</v>
      </c>
      <c r="J46" s="280">
        <v>0</v>
      </c>
      <c r="K46" s="280"/>
      <c r="L46" s="280" t="s">
        <v>641</v>
      </c>
      <c r="M46" s="280" t="s">
        <v>538</v>
      </c>
      <c r="N46" s="280" t="s">
        <v>634</v>
      </c>
      <c r="O46" s="280" t="s">
        <v>683</v>
      </c>
      <c r="P46" s="280" t="s">
        <v>684</v>
      </c>
      <c r="Q46" s="280" t="s">
        <v>685</v>
      </c>
      <c r="R46" s="280"/>
      <c r="S46" s="280" t="s">
        <v>686</v>
      </c>
      <c r="T46" s="280"/>
      <c r="U46" s="280" t="s">
        <v>30</v>
      </c>
      <c r="V46" s="280" t="s">
        <v>538</v>
      </c>
      <c r="W46" s="280" t="s">
        <v>555</v>
      </c>
      <c r="X46" s="280">
        <f t="shared" si="1"/>
        <v>10</v>
      </c>
    </row>
    <row r="47" spans="1:24" ht="307.5" customHeight="1" x14ac:dyDescent="0.2">
      <c r="A47" s="283" t="s">
        <v>235</v>
      </c>
      <c r="B47" s="280" t="s">
        <v>687</v>
      </c>
      <c r="C47" s="280">
        <v>0</v>
      </c>
      <c r="D47" s="280">
        <v>0</v>
      </c>
      <c r="E47" s="280">
        <v>0</v>
      </c>
      <c r="F47" s="280">
        <v>0</v>
      </c>
      <c r="G47" s="280">
        <v>1</v>
      </c>
      <c r="H47" s="280">
        <v>0</v>
      </c>
      <c r="I47" s="280">
        <v>0</v>
      </c>
      <c r="J47" s="280">
        <v>0</v>
      </c>
      <c r="K47" s="280"/>
      <c r="L47" s="280" t="s">
        <v>641</v>
      </c>
      <c r="M47" s="280" t="s">
        <v>538</v>
      </c>
      <c r="N47" s="280" t="s">
        <v>634</v>
      </c>
      <c r="O47" s="280" t="s">
        <v>688</v>
      </c>
      <c r="P47" s="280" t="s">
        <v>689</v>
      </c>
      <c r="Q47" s="280" t="s">
        <v>690</v>
      </c>
      <c r="R47" s="280"/>
      <c r="S47" s="280" t="s">
        <v>691</v>
      </c>
      <c r="U47" s="280" t="s">
        <v>30</v>
      </c>
      <c r="V47" s="280" t="s">
        <v>538</v>
      </c>
      <c r="W47" s="280" t="s">
        <v>555</v>
      </c>
      <c r="X47" s="280">
        <f t="shared" si="1"/>
        <v>10</v>
      </c>
    </row>
    <row r="48" spans="1:24" ht="168" customHeight="1" x14ac:dyDescent="0.2">
      <c r="A48" s="283" t="s">
        <v>236</v>
      </c>
      <c r="B48" s="280" t="s">
        <v>692</v>
      </c>
      <c r="C48" s="280">
        <v>0</v>
      </c>
      <c r="D48" s="280">
        <v>0</v>
      </c>
      <c r="E48" s="280">
        <v>0</v>
      </c>
      <c r="F48" s="280">
        <v>0</v>
      </c>
      <c r="G48" s="280">
        <v>1</v>
      </c>
      <c r="H48" s="280">
        <v>0</v>
      </c>
      <c r="I48" s="280">
        <v>0</v>
      </c>
      <c r="J48" s="280">
        <v>0</v>
      </c>
      <c r="K48" s="280"/>
      <c r="L48" s="280" t="s">
        <v>641</v>
      </c>
      <c r="M48" s="280" t="s">
        <v>538</v>
      </c>
      <c r="N48" s="280" t="s">
        <v>634</v>
      </c>
      <c r="O48" s="280"/>
      <c r="P48" s="280" t="s">
        <v>693</v>
      </c>
      <c r="Q48" s="280" t="s">
        <v>694</v>
      </c>
      <c r="R48" s="280"/>
      <c r="S48" s="280" t="s">
        <v>695</v>
      </c>
      <c r="T48" s="280" t="s">
        <v>696</v>
      </c>
      <c r="U48" s="280" t="s">
        <v>30</v>
      </c>
      <c r="V48" s="280" t="s">
        <v>538</v>
      </c>
      <c r="W48" s="280" t="s">
        <v>555</v>
      </c>
      <c r="X48" s="280">
        <f t="shared" si="1"/>
        <v>10</v>
      </c>
    </row>
    <row r="49" spans="1:24" ht="237.75" customHeight="1" x14ac:dyDescent="0.2">
      <c r="A49" s="283" t="s">
        <v>237</v>
      </c>
      <c r="B49" s="280" t="s">
        <v>697</v>
      </c>
      <c r="C49" s="280">
        <v>0</v>
      </c>
      <c r="D49" s="280">
        <v>0</v>
      </c>
      <c r="E49" s="280">
        <v>0</v>
      </c>
      <c r="F49" s="280">
        <v>0</v>
      </c>
      <c r="G49" s="280">
        <v>1</v>
      </c>
      <c r="H49" s="280">
        <v>0</v>
      </c>
      <c r="I49" s="280">
        <v>0</v>
      </c>
      <c r="J49" s="280">
        <v>0</v>
      </c>
      <c r="K49" s="280"/>
      <c r="L49" s="280" t="s">
        <v>641</v>
      </c>
      <c r="M49" s="280" t="s">
        <v>538</v>
      </c>
      <c r="N49" s="280" t="s">
        <v>634</v>
      </c>
      <c r="O49" s="280" t="s">
        <v>698</v>
      </c>
      <c r="P49" s="280" t="s">
        <v>698</v>
      </c>
      <c r="Q49" s="280" t="s">
        <v>699</v>
      </c>
      <c r="R49" s="280"/>
      <c r="S49" s="280" t="s">
        <v>700</v>
      </c>
      <c r="T49" s="280"/>
      <c r="U49" s="280" t="s">
        <v>26</v>
      </c>
      <c r="V49" s="280" t="s">
        <v>538</v>
      </c>
      <c r="W49" s="280" t="s">
        <v>555</v>
      </c>
      <c r="X49" s="280">
        <f t="shared" si="1"/>
        <v>10</v>
      </c>
    </row>
    <row r="50" spans="1:24" ht="210" customHeight="1" x14ac:dyDescent="0.2">
      <c r="A50" s="281" t="s">
        <v>63</v>
      </c>
      <c r="B50" s="281" t="s">
        <v>701</v>
      </c>
      <c r="C50" s="280">
        <v>0</v>
      </c>
      <c r="D50" s="280">
        <v>1</v>
      </c>
      <c r="E50" s="280">
        <v>0</v>
      </c>
      <c r="F50" s="280">
        <v>0</v>
      </c>
      <c r="G50" s="280">
        <v>0</v>
      </c>
      <c r="H50" s="280">
        <v>0</v>
      </c>
      <c r="I50" s="280">
        <v>0</v>
      </c>
      <c r="J50" s="280">
        <v>1</v>
      </c>
      <c r="K50" s="280"/>
      <c r="L50" s="280" t="s">
        <v>604</v>
      </c>
      <c r="M50" s="280" t="s">
        <v>538</v>
      </c>
      <c r="N50" s="280"/>
      <c r="O50" s="280"/>
      <c r="P50" s="280" t="s">
        <v>702</v>
      </c>
      <c r="Q50" s="280" t="s">
        <v>703</v>
      </c>
      <c r="R50" s="284" t="s">
        <v>704</v>
      </c>
      <c r="S50" s="280" t="s">
        <v>705</v>
      </c>
      <c r="T50" s="280" t="s">
        <v>706</v>
      </c>
      <c r="U50" s="280" t="s">
        <v>30</v>
      </c>
      <c r="V50" s="280" t="s">
        <v>538</v>
      </c>
      <c r="W50" s="280" t="s">
        <v>606</v>
      </c>
      <c r="X50" s="280">
        <f t="shared" si="1"/>
        <v>20</v>
      </c>
    </row>
    <row r="51" spans="1:24" ht="111.75" customHeight="1" x14ac:dyDescent="0.2">
      <c r="A51" s="281" t="s">
        <v>65</v>
      </c>
      <c r="B51" s="281" t="s">
        <v>707</v>
      </c>
      <c r="C51" s="280">
        <v>0</v>
      </c>
      <c r="D51" s="280">
        <v>1</v>
      </c>
      <c r="E51" s="280">
        <v>0</v>
      </c>
      <c r="F51" s="280">
        <v>0</v>
      </c>
      <c r="G51" s="280">
        <v>0</v>
      </c>
      <c r="H51" s="280">
        <v>0</v>
      </c>
      <c r="I51" s="280">
        <v>0</v>
      </c>
      <c r="J51" s="280">
        <v>1</v>
      </c>
      <c r="K51" s="280"/>
      <c r="L51" s="280" t="s">
        <v>604</v>
      </c>
      <c r="M51" s="280" t="s">
        <v>538</v>
      </c>
      <c r="N51" s="280"/>
      <c r="O51" s="280" t="s">
        <v>708</v>
      </c>
      <c r="P51" s="280" t="s">
        <v>708</v>
      </c>
      <c r="Q51" s="280" t="s">
        <v>708</v>
      </c>
      <c r="R51" s="284" t="s">
        <v>704</v>
      </c>
      <c r="S51" s="280" t="s">
        <v>709</v>
      </c>
      <c r="T51" s="280" t="s">
        <v>710</v>
      </c>
      <c r="U51" s="280" t="s">
        <v>30</v>
      </c>
      <c r="V51" s="280" t="s">
        <v>538</v>
      </c>
      <c r="W51" s="280" t="s">
        <v>606</v>
      </c>
      <c r="X51" s="280">
        <f t="shared" si="1"/>
        <v>20</v>
      </c>
    </row>
    <row r="52" spans="1:24" ht="84" customHeight="1" x14ac:dyDescent="0.2">
      <c r="A52" s="281" t="s">
        <v>67</v>
      </c>
      <c r="B52" s="281" t="s">
        <v>711</v>
      </c>
      <c r="C52" s="280">
        <v>0</v>
      </c>
      <c r="D52" s="280">
        <v>1</v>
      </c>
      <c r="E52" s="280">
        <v>0</v>
      </c>
      <c r="F52" s="280">
        <v>0</v>
      </c>
      <c r="G52" s="280">
        <v>0</v>
      </c>
      <c r="H52" s="280">
        <v>0</v>
      </c>
      <c r="I52" s="280">
        <v>0</v>
      </c>
      <c r="J52" s="280">
        <v>1</v>
      </c>
      <c r="K52" s="280"/>
      <c r="L52" s="280" t="s">
        <v>604</v>
      </c>
      <c r="M52" s="280" t="s">
        <v>538</v>
      </c>
      <c r="N52" s="280"/>
      <c r="O52" s="280"/>
      <c r="P52" s="280"/>
      <c r="Q52" s="280"/>
      <c r="R52" s="284" t="s">
        <v>704</v>
      </c>
      <c r="S52" s="280" t="s">
        <v>712</v>
      </c>
      <c r="T52" s="280" t="s">
        <v>713</v>
      </c>
      <c r="U52" s="280" t="s">
        <v>30</v>
      </c>
      <c r="V52" s="280" t="s">
        <v>538</v>
      </c>
      <c r="W52" s="280" t="s">
        <v>606</v>
      </c>
      <c r="X52" s="280">
        <f t="shared" si="1"/>
        <v>20</v>
      </c>
    </row>
    <row r="53" spans="1:24" ht="378" customHeight="1" x14ac:dyDescent="0.2">
      <c r="A53" s="281" t="s">
        <v>69</v>
      </c>
      <c r="B53" s="281" t="s">
        <v>714</v>
      </c>
      <c r="C53" s="280">
        <v>0</v>
      </c>
      <c r="D53" s="280">
        <v>1</v>
      </c>
      <c r="E53" s="280">
        <v>0</v>
      </c>
      <c r="F53" s="280">
        <v>0</v>
      </c>
      <c r="G53" s="280">
        <v>0</v>
      </c>
      <c r="H53" s="280">
        <v>0</v>
      </c>
      <c r="I53" s="280">
        <v>0</v>
      </c>
      <c r="J53" s="280">
        <v>1</v>
      </c>
      <c r="K53" s="280"/>
      <c r="L53" s="280" t="s">
        <v>604</v>
      </c>
      <c r="M53" s="280" t="s">
        <v>538</v>
      </c>
      <c r="N53" s="280"/>
      <c r="O53" s="280" t="s">
        <v>715</v>
      </c>
      <c r="P53" s="280" t="s">
        <v>716</v>
      </c>
      <c r="Q53" s="280" t="s">
        <v>717</v>
      </c>
      <c r="R53" s="284" t="s">
        <v>704</v>
      </c>
      <c r="S53" s="280" t="s">
        <v>718</v>
      </c>
      <c r="T53" s="280" t="s">
        <v>719</v>
      </c>
      <c r="U53" s="280" t="s">
        <v>30</v>
      </c>
      <c r="V53" s="280" t="s">
        <v>538</v>
      </c>
      <c r="W53" s="280" t="s">
        <v>606</v>
      </c>
      <c r="X53" s="280">
        <f t="shared" si="1"/>
        <v>20</v>
      </c>
    </row>
    <row r="54" spans="1:24" ht="210" customHeight="1" x14ac:dyDescent="0.2">
      <c r="A54" s="280" t="s">
        <v>70</v>
      </c>
      <c r="B54" s="280" t="s">
        <v>720</v>
      </c>
      <c r="C54" s="280">
        <v>0</v>
      </c>
      <c r="D54" s="280">
        <v>1</v>
      </c>
      <c r="E54" s="280">
        <v>0</v>
      </c>
      <c r="F54" s="280">
        <v>0</v>
      </c>
      <c r="G54" s="280">
        <v>0</v>
      </c>
      <c r="H54" s="280">
        <v>0</v>
      </c>
      <c r="I54" s="280">
        <v>0</v>
      </c>
      <c r="J54" s="280">
        <v>0</v>
      </c>
      <c r="K54" s="280"/>
      <c r="L54" s="280" t="s">
        <v>604</v>
      </c>
      <c r="M54" s="280" t="s">
        <v>538</v>
      </c>
      <c r="N54" s="280"/>
      <c r="O54" s="280" t="s">
        <v>721</v>
      </c>
      <c r="P54" s="280" t="s">
        <v>722</v>
      </c>
      <c r="Q54" s="280" t="s">
        <v>723</v>
      </c>
      <c r="R54" s="280"/>
      <c r="S54" s="280" t="s">
        <v>724</v>
      </c>
      <c r="T54" s="280" t="s">
        <v>725</v>
      </c>
      <c r="U54" s="280" t="s">
        <v>30</v>
      </c>
      <c r="V54" s="280" t="s">
        <v>538</v>
      </c>
      <c r="W54" s="280" t="s">
        <v>555</v>
      </c>
      <c r="X54" s="280">
        <f t="shared" si="1"/>
        <v>10</v>
      </c>
    </row>
    <row r="55" spans="1:24" ht="168" customHeight="1" x14ac:dyDescent="0.2">
      <c r="A55" s="281" t="s">
        <v>240</v>
      </c>
      <c r="B55" s="281" t="s">
        <v>726</v>
      </c>
      <c r="C55" s="280">
        <v>0</v>
      </c>
      <c r="D55" s="280">
        <v>0</v>
      </c>
      <c r="E55" s="280">
        <v>0</v>
      </c>
      <c r="F55" s="280">
        <v>0</v>
      </c>
      <c r="G55" s="280">
        <v>0</v>
      </c>
      <c r="H55" s="280">
        <v>1</v>
      </c>
      <c r="I55" s="280">
        <v>0</v>
      </c>
      <c r="J55" s="280">
        <v>1</v>
      </c>
      <c r="K55" s="280"/>
      <c r="L55" s="280" t="s">
        <v>727</v>
      </c>
      <c r="M55" s="280" t="s">
        <v>538</v>
      </c>
      <c r="N55" s="280" t="s">
        <v>728</v>
      </c>
      <c r="O55" s="280"/>
      <c r="P55" s="280"/>
      <c r="Q55" s="280"/>
      <c r="R55" s="280"/>
      <c r="S55" s="280" t="s">
        <v>729</v>
      </c>
      <c r="T55" s="280" t="s">
        <v>547</v>
      </c>
      <c r="U55" s="280" t="s">
        <v>26</v>
      </c>
      <c r="V55" s="280" t="s">
        <v>538</v>
      </c>
      <c r="W55" s="280" t="s">
        <v>606</v>
      </c>
      <c r="X55" s="280">
        <f t="shared" si="1"/>
        <v>20</v>
      </c>
    </row>
    <row r="56" spans="1:24" ht="168" customHeight="1" x14ac:dyDescent="0.2">
      <c r="A56" s="281" t="s">
        <v>241</v>
      </c>
      <c r="B56" s="281" t="s">
        <v>730</v>
      </c>
      <c r="C56" s="280">
        <v>0</v>
      </c>
      <c r="D56" s="280">
        <v>0</v>
      </c>
      <c r="E56" s="280">
        <v>0</v>
      </c>
      <c r="F56" s="280">
        <v>0</v>
      </c>
      <c r="G56" s="280">
        <v>0</v>
      </c>
      <c r="H56" s="280">
        <v>1</v>
      </c>
      <c r="I56" s="280">
        <v>0</v>
      </c>
      <c r="J56" s="280">
        <v>1</v>
      </c>
      <c r="K56" s="280"/>
      <c r="L56" s="280" t="s">
        <v>727</v>
      </c>
      <c r="M56" s="280" t="s">
        <v>538</v>
      </c>
      <c r="N56" s="280" t="s">
        <v>728</v>
      </c>
      <c r="O56" s="280"/>
      <c r="P56" s="280"/>
      <c r="Q56" s="280"/>
      <c r="R56" s="280"/>
      <c r="S56" s="280" t="s">
        <v>729</v>
      </c>
      <c r="T56" s="280" t="s">
        <v>547</v>
      </c>
      <c r="U56" s="280" t="s">
        <v>30</v>
      </c>
      <c r="V56" s="280" t="s">
        <v>538</v>
      </c>
      <c r="W56" s="280" t="s">
        <v>606</v>
      </c>
      <c r="X56" s="280">
        <f t="shared" si="1"/>
        <v>20</v>
      </c>
    </row>
    <row r="57" spans="1:24" ht="168" customHeight="1" x14ac:dyDescent="0.2">
      <c r="A57" s="281" t="s">
        <v>242</v>
      </c>
      <c r="B57" s="281" t="s">
        <v>731</v>
      </c>
      <c r="C57" s="280">
        <v>0</v>
      </c>
      <c r="D57" s="280">
        <v>0</v>
      </c>
      <c r="E57" s="280">
        <v>0</v>
      </c>
      <c r="F57" s="280">
        <v>0</v>
      </c>
      <c r="G57" s="280">
        <v>0</v>
      </c>
      <c r="H57" s="280">
        <v>1</v>
      </c>
      <c r="I57" s="280">
        <v>0</v>
      </c>
      <c r="J57" s="280">
        <v>1</v>
      </c>
      <c r="K57" s="280"/>
      <c r="L57" s="280" t="s">
        <v>727</v>
      </c>
      <c r="M57" s="280" t="s">
        <v>538</v>
      </c>
      <c r="N57" s="280" t="s">
        <v>728</v>
      </c>
      <c r="O57" s="280"/>
      <c r="P57" s="280"/>
      <c r="Q57" s="280"/>
      <c r="R57" s="280" t="s">
        <v>732</v>
      </c>
      <c r="S57" s="280" t="s">
        <v>729</v>
      </c>
      <c r="T57" s="280" t="s">
        <v>547</v>
      </c>
      <c r="U57" s="280" t="s">
        <v>30</v>
      </c>
      <c r="V57" s="280" t="s">
        <v>538</v>
      </c>
      <c r="W57" s="280" t="s">
        <v>606</v>
      </c>
      <c r="X57" s="280">
        <f t="shared" si="1"/>
        <v>20</v>
      </c>
    </row>
    <row r="58" spans="1:24" ht="168" customHeight="1" x14ac:dyDescent="0.2">
      <c r="A58" s="281" t="s">
        <v>243</v>
      </c>
      <c r="B58" s="281" t="s">
        <v>733</v>
      </c>
      <c r="C58" s="280">
        <v>0</v>
      </c>
      <c r="D58" s="280">
        <v>0</v>
      </c>
      <c r="E58" s="280">
        <v>0</v>
      </c>
      <c r="F58" s="280">
        <v>0</v>
      </c>
      <c r="G58" s="280">
        <v>0</v>
      </c>
      <c r="H58" s="280">
        <v>1</v>
      </c>
      <c r="I58" s="280">
        <v>0</v>
      </c>
      <c r="J58" s="280">
        <v>1</v>
      </c>
      <c r="K58" s="280"/>
      <c r="L58" s="280" t="s">
        <v>727</v>
      </c>
      <c r="M58" s="280" t="s">
        <v>538</v>
      </c>
      <c r="N58" s="280" t="s">
        <v>728</v>
      </c>
      <c r="O58" s="280"/>
      <c r="P58" s="280"/>
      <c r="Q58" s="280"/>
      <c r="R58" s="280" t="s">
        <v>732</v>
      </c>
      <c r="S58" s="280" t="s">
        <v>729</v>
      </c>
      <c r="T58" s="280" t="s">
        <v>547</v>
      </c>
      <c r="U58" s="280" t="s">
        <v>30</v>
      </c>
      <c r="V58" s="280" t="s">
        <v>538</v>
      </c>
      <c r="W58" s="280" t="s">
        <v>606</v>
      </c>
      <c r="X58" s="280">
        <f t="shared" si="1"/>
        <v>20</v>
      </c>
    </row>
    <row r="59" spans="1:24" ht="168" customHeight="1" x14ac:dyDescent="0.2">
      <c r="A59" s="280" t="s">
        <v>244</v>
      </c>
      <c r="B59" s="280" t="s">
        <v>734</v>
      </c>
      <c r="C59" s="280">
        <v>0</v>
      </c>
      <c r="D59" s="280">
        <v>0</v>
      </c>
      <c r="E59" s="280">
        <v>0</v>
      </c>
      <c r="F59" s="280">
        <v>0</v>
      </c>
      <c r="G59" s="280">
        <v>0</v>
      </c>
      <c r="H59" s="280">
        <v>1</v>
      </c>
      <c r="I59" s="280">
        <v>0</v>
      </c>
      <c r="J59" s="280">
        <v>1</v>
      </c>
      <c r="K59" s="280"/>
      <c r="L59" s="280" t="s">
        <v>727</v>
      </c>
      <c r="M59" s="280" t="s">
        <v>538</v>
      </c>
      <c r="N59" s="280" t="s">
        <v>728</v>
      </c>
      <c r="O59" s="280"/>
      <c r="P59" s="280"/>
      <c r="Q59" s="280"/>
      <c r="R59" s="280"/>
      <c r="S59" s="280" t="s">
        <v>729</v>
      </c>
      <c r="T59" s="280" t="s">
        <v>547</v>
      </c>
      <c r="U59" s="280" t="s">
        <v>26</v>
      </c>
      <c r="V59" s="280" t="s">
        <v>538</v>
      </c>
      <c r="W59" s="280" t="s">
        <v>555</v>
      </c>
      <c r="X59" s="280">
        <f t="shared" si="1"/>
        <v>10</v>
      </c>
    </row>
    <row r="60" spans="1:24" ht="168" customHeight="1" x14ac:dyDescent="0.2">
      <c r="A60" s="280" t="s">
        <v>245</v>
      </c>
      <c r="B60" s="280" t="s">
        <v>735</v>
      </c>
      <c r="C60" s="280">
        <v>0</v>
      </c>
      <c r="D60" s="280">
        <v>0</v>
      </c>
      <c r="E60" s="280">
        <v>0</v>
      </c>
      <c r="F60" s="280">
        <v>0</v>
      </c>
      <c r="G60" s="280">
        <v>0</v>
      </c>
      <c r="H60" s="280">
        <v>1</v>
      </c>
      <c r="I60" s="280">
        <v>0</v>
      </c>
      <c r="J60" s="280">
        <v>1</v>
      </c>
      <c r="K60" s="280"/>
      <c r="L60" s="280" t="s">
        <v>727</v>
      </c>
      <c r="M60" s="280" t="s">
        <v>538</v>
      </c>
      <c r="N60" s="280" t="s">
        <v>728</v>
      </c>
      <c r="O60" s="280"/>
      <c r="P60" s="280"/>
      <c r="Q60" s="280"/>
      <c r="R60" s="280"/>
      <c r="S60" s="280" t="s">
        <v>729</v>
      </c>
      <c r="T60" s="280" t="s">
        <v>547</v>
      </c>
      <c r="U60" s="280" t="s">
        <v>26</v>
      </c>
      <c r="V60" s="280" t="s">
        <v>538</v>
      </c>
      <c r="W60" s="280" t="s">
        <v>555</v>
      </c>
      <c r="X60" s="280">
        <f t="shared" si="1"/>
        <v>10</v>
      </c>
    </row>
    <row r="61" spans="1:24" ht="168" customHeight="1" x14ac:dyDescent="0.2">
      <c r="A61" s="280" t="s">
        <v>246</v>
      </c>
      <c r="B61" s="280" t="s">
        <v>736</v>
      </c>
      <c r="C61" s="280">
        <v>0</v>
      </c>
      <c r="D61" s="280">
        <v>0</v>
      </c>
      <c r="E61" s="280">
        <v>0</v>
      </c>
      <c r="F61" s="280">
        <v>0</v>
      </c>
      <c r="G61" s="280">
        <v>0</v>
      </c>
      <c r="H61" s="280">
        <v>1</v>
      </c>
      <c r="I61" s="280">
        <v>0</v>
      </c>
      <c r="J61" s="280">
        <v>1</v>
      </c>
      <c r="K61" s="280"/>
      <c r="L61" s="280" t="s">
        <v>727</v>
      </c>
      <c r="M61" s="280" t="s">
        <v>538</v>
      </c>
      <c r="N61" s="280" t="s">
        <v>728</v>
      </c>
      <c r="O61" s="280"/>
      <c r="P61" s="280"/>
      <c r="Q61" s="280"/>
      <c r="R61" s="280"/>
      <c r="S61" s="280" t="s">
        <v>729</v>
      </c>
      <c r="T61" s="280" t="s">
        <v>547</v>
      </c>
      <c r="U61" s="280" t="s">
        <v>26</v>
      </c>
      <c r="V61" s="280" t="s">
        <v>538</v>
      </c>
      <c r="W61" s="280" t="s">
        <v>555</v>
      </c>
      <c r="X61" s="280">
        <f t="shared" si="1"/>
        <v>10</v>
      </c>
    </row>
    <row r="62" spans="1:24" ht="168" customHeight="1" x14ac:dyDescent="0.2">
      <c r="A62" s="280" t="s">
        <v>247</v>
      </c>
      <c r="B62" s="280" t="s">
        <v>737</v>
      </c>
      <c r="C62" s="280">
        <v>0</v>
      </c>
      <c r="D62" s="280">
        <v>0</v>
      </c>
      <c r="E62" s="280">
        <v>0</v>
      </c>
      <c r="F62" s="280">
        <v>0</v>
      </c>
      <c r="G62" s="280">
        <v>0</v>
      </c>
      <c r="H62" s="280">
        <v>1</v>
      </c>
      <c r="I62" s="280">
        <v>0</v>
      </c>
      <c r="J62" s="280">
        <v>1</v>
      </c>
      <c r="K62" s="280"/>
      <c r="L62" s="280" t="s">
        <v>727</v>
      </c>
      <c r="M62" s="280" t="s">
        <v>538</v>
      </c>
      <c r="N62" s="280" t="s">
        <v>728</v>
      </c>
      <c r="O62" s="280"/>
      <c r="P62" s="280"/>
      <c r="Q62" s="280"/>
      <c r="R62" s="280"/>
      <c r="S62" s="280" t="s">
        <v>729</v>
      </c>
      <c r="T62" s="280" t="s">
        <v>547</v>
      </c>
      <c r="U62" s="280" t="s">
        <v>26</v>
      </c>
      <c r="V62" s="280" t="s">
        <v>538</v>
      </c>
      <c r="W62" s="280" t="s">
        <v>555</v>
      </c>
      <c r="X62" s="280">
        <f t="shared" si="1"/>
        <v>10</v>
      </c>
    </row>
    <row r="63" spans="1:24" ht="168" customHeight="1" x14ac:dyDescent="0.2">
      <c r="A63" s="280" t="s">
        <v>248</v>
      </c>
      <c r="B63" s="280" t="s">
        <v>738</v>
      </c>
      <c r="C63" s="280">
        <v>0</v>
      </c>
      <c r="D63" s="280">
        <v>0</v>
      </c>
      <c r="E63" s="280">
        <v>0</v>
      </c>
      <c r="F63" s="280">
        <v>0</v>
      </c>
      <c r="G63" s="280">
        <v>0</v>
      </c>
      <c r="H63" s="280">
        <v>1</v>
      </c>
      <c r="I63" s="280">
        <v>0</v>
      </c>
      <c r="J63" s="280">
        <v>1</v>
      </c>
      <c r="K63" s="280"/>
      <c r="L63" s="280" t="s">
        <v>727</v>
      </c>
      <c r="M63" s="280" t="s">
        <v>538</v>
      </c>
      <c r="N63" s="280" t="s">
        <v>728</v>
      </c>
      <c r="O63" s="280"/>
      <c r="P63" s="280"/>
      <c r="Q63" s="280"/>
      <c r="R63" s="280"/>
      <c r="S63" s="280" t="s">
        <v>729</v>
      </c>
      <c r="T63" s="280" t="s">
        <v>547</v>
      </c>
      <c r="U63" s="280" t="s">
        <v>26</v>
      </c>
      <c r="V63" s="280" t="s">
        <v>538</v>
      </c>
      <c r="W63" s="280" t="s">
        <v>555</v>
      </c>
      <c r="X63" s="280">
        <f t="shared" si="1"/>
        <v>10</v>
      </c>
    </row>
    <row r="64" spans="1:24" ht="223.5" customHeight="1" x14ac:dyDescent="0.2">
      <c r="A64" s="281" t="s">
        <v>166</v>
      </c>
      <c r="B64" s="281" t="s">
        <v>739</v>
      </c>
      <c r="C64" s="280">
        <v>0</v>
      </c>
      <c r="D64" s="280">
        <v>0</v>
      </c>
      <c r="E64" s="280">
        <v>0</v>
      </c>
      <c r="F64" s="280">
        <v>1</v>
      </c>
      <c r="G64" s="280">
        <v>0</v>
      </c>
      <c r="H64" s="280">
        <v>0</v>
      </c>
      <c r="I64" s="280">
        <v>0</v>
      </c>
      <c r="J64" s="280">
        <v>1</v>
      </c>
      <c r="K64" s="280"/>
      <c r="L64" s="280" t="s">
        <v>740</v>
      </c>
      <c r="M64" s="280" t="s">
        <v>538</v>
      </c>
      <c r="N64" s="280" t="s">
        <v>741</v>
      </c>
      <c r="O64" s="280" t="s">
        <v>742</v>
      </c>
      <c r="P64" s="280" t="s">
        <v>743</v>
      </c>
      <c r="Q64" s="280" t="s">
        <v>744</v>
      </c>
      <c r="R64" s="280"/>
      <c r="S64" s="280" t="s">
        <v>745</v>
      </c>
      <c r="T64" s="280" t="s">
        <v>746</v>
      </c>
      <c r="U64" s="280" t="s">
        <v>30</v>
      </c>
      <c r="V64" s="280" t="s">
        <v>538</v>
      </c>
      <c r="W64" s="280" t="s">
        <v>606</v>
      </c>
      <c r="X64" s="280">
        <f t="shared" si="1"/>
        <v>20</v>
      </c>
    </row>
    <row r="65" spans="1:24" ht="223.5" customHeight="1" x14ac:dyDescent="0.2">
      <c r="A65" s="281" t="s">
        <v>167</v>
      </c>
      <c r="B65" s="281" t="s">
        <v>747</v>
      </c>
      <c r="C65" s="280">
        <v>0</v>
      </c>
      <c r="D65" s="280">
        <v>0</v>
      </c>
      <c r="E65" s="280">
        <v>0</v>
      </c>
      <c r="F65" s="280">
        <v>1</v>
      </c>
      <c r="G65" s="280">
        <v>0</v>
      </c>
      <c r="H65" s="280">
        <v>0</v>
      </c>
      <c r="I65" s="280">
        <v>0</v>
      </c>
      <c r="J65" s="280">
        <v>0</v>
      </c>
      <c r="K65" s="280"/>
      <c r="L65" s="280" t="s">
        <v>740</v>
      </c>
      <c r="M65" s="280" t="s">
        <v>538</v>
      </c>
      <c r="N65" s="280" t="s">
        <v>741</v>
      </c>
      <c r="O65" s="280"/>
      <c r="P65" s="280" t="s">
        <v>748</v>
      </c>
      <c r="Q65" s="280" t="s">
        <v>749</v>
      </c>
      <c r="R65" s="280"/>
      <c r="S65" s="280" t="s">
        <v>750</v>
      </c>
      <c r="T65" s="280" t="s">
        <v>751</v>
      </c>
      <c r="U65" s="280" t="s">
        <v>30</v>
      </c>
      <c r="V65" s="280" t="s">
        <v>538</v>
      </c>
      <c r="W65" s="280" t="s">
        <v>606</v>
      </c>
      <c r="X65" s="280">
        <f t="shared" si="1"/>
        <v>20</v>
      </c>
    </row>
    <row r="66" spans="1:24" ht="210" customHeight="1" x14ac:dyDescent="0.2">
      <c r="A66" s="281" t="s">
        <v>168</v>
      </c>
      <c r="B66" s="281" t="s">
        <v>752</v>
      </c>
      <c r="C66" s="280">
        <v>0</v>
      </c>
      <c r="D66" s="280">
        <v>0</v>
      </c>
      <c r="E66" s="280">
        <v>0</v>
      </c>
      <c r="F66" s="280">
        <v>1</v>
      </c>
      <c r="G66" s="280">
        <v>0</v>
      </c>
      <c r="H66" s="280">
        <v>0</v>
      </c>
      <c r="I66" s="280">
        <v>0</v>
      </c>
      <c r="J66" s="280">
        <v>0</v>
      </c>
      <c r="K66" s="280"/>
      <c r="L66" s="280" t="s">
        <v>740</v>
      </c>
      <c r="M66" s="280" t="s">
        <v>538</v>
      </c>
      <c r="N66" s="280" t="s">
        <v>741</v>
      </c>
      <c r="O66" s="280" t="s">
        <v>753</v>
      </c>
      <c r="P66" s="280" t="s">
        <v>754</v>
      </c>
      <c r="Q66" s="280" t="s">
        <v>755</v>
      </c>
      <c r="R66" s="280"/>
      <c r="S66" s="280" t="s">
        <v>756</v>
      </c>
      <c r="T66" s="280" t="s">
        <v>757</v>
      </c>
      <c r="U66" s="280" t="s">
        <v>30</v>
      </c>
      <c r="V66" s="280" t="s">
        <v>538</v>
      </c>
      <c r="W66" s="280" t="s">
        <v>606</v>
      </c>
      <c r="X66" s="280">
        <f t="shared" si="1"/>
        <v>20</v>
      </c>
    </row>
    <row r="67" spans="1:24" ht="84" customHeight="1" x14ac:dyDescent="0.2">
      <c r="A67" s="281" t="s">
        <v>169</v>
      </c>
      <c r="B67" s="281" t="s">
        <v>758</v>
      </c>
      <c r="C67" s="280">
        <v>0</v>
      </c>
      <c r="D67" s="280">
        <v>0</v>
      </c>
      <c r="E67" s="280">
        <v>0</v>
      </c>
      <c r="F67" s="280">
        <v>1</v>
      </c>
      <c r="G67" s="280">
        <v>0</v>
      </c>
      <c r="H67" s="280">
        <v>0</v>
      </c>
      <c r="I67" s="280">
        <v>0</v>
      </c>
      <c r="J67" s="280">
        <v>1</v>
      </c>
      <c r="K67" s="280"/>
      <c r="L67" s="280" t="s">
        <v>740</v>
      </c>
      <c r="M67" s="280" t="s">
        <v>538</v>
      </c>
      <c r="N67" s="280" t="s">
        <v>741</v>
      </c>
      <c r="O67" s="280"/>
      <c r="P67" s="280" t="s">
        <v>759</v>
      </c>
      <c r="Q67" s="280" t="s">
        <v>760</v>
      </c>
      <c r="R67" s="280"/>
      <c r="S67" s="280" t="s">
        <v>761</v>
      </c>
      <c r="T67" s="280" t="s">
        <v>762</v>
      </c>
      <c r="U67" s="280" t="s">
        <v>26</v>
      </c>
      <c r="V67" s="280" t="s">
        <v>538</v>
      </c>
      <c r="W67" s="280" t="s">
        <v>606</v>
      </c>
      <c r="X67" s="280">
        <f t="shared" si="1"/>
        <v>20</v>
      </c>
    </row>
    <row r="68" spans="1:24" ht="252" customHeight="1" x14ac:dyDescent="0.2">
      <c r="A68" s="281" t="s">
        <v>170</v>
      </c>
      <c r="B68" s="281" t="s">
        <v>763</v>
      </c>
      <c r="C68" s="280">
        <v>0</v>
      </c>
      <c r="D68" s="280">
        <v>0</v>
      </c>
      <c r="E68" s="280">
        <v>0</v>
      </c>
      <c r="F68" s="280">
        <v>1</v>
      </c>
      <c r="G68" s="280">
        <v>0</v>
      </c>
      <c r="H68" s="280">
        <v>0</v>
      </c>
      <c r="I68" s="280">
        <v>0</v>
      </c>
      <c r="J68" s="280">
        <v>0</v>
      </c>
      <c r="K68" s="280"/>
      <c r="L68" s="280" t="s">
        <v>740</v>
      </c>
      <c r="M68" s="280" t="s">
        <v>538</v>
      </c>
      <c r="N68" s="280" t="s">
        <v>741</v>
      </c>
      <c r="O68" s="280"/>
      <c r="P68" s="280" t="s">
        <v>764</v>
      </c>
      <c r="Q68" s="280" t="s">
        <v>765</v>
      </c>
      <c r="R68" s="280"/>
      <c r="S68" s="280" t="s">
        <v>766</v>
      </c>
      <c r="T68" s="280" t="s">
        <v>767</v>
      </c>
      <c r="U68" s="280" t="s">
        <v>30</v>
      </c>
      <c r="V68" s="280" t="s">
        <v>538</v>
      </c>
      <c r="W68" s="280" t="s">
        <v>606</v>
      </c>
      <c r="X68" s="280">
        <f t="shared" si="1"/>
        <v>20</v>
      </c>
    </row>
    <row r="69" spans="1:24" ht="237.75" customHeight="1" x14ac:dyDescent="0.2">
      <c r="A69" s="281" t="s">
        <v>171</v>
      </c>
      <c r="B69" s="281" t="s">
        <v>768</v>
      </c>
      <c r="C69" s="280">
        <v>0</v>
      </c>
      <c r="D69" s="280">
        <v>0</v>
      </c>
      <c r="E69" s="280">
        <v>0</v>
      </c>
      <c r="F69" s="280">
        <v>1</v>
      </c>
      <c r="G69" s="280">
        <v>0</v>
      </c>
      <c r="H69" s="280">
        <v>0</v>
      </c>
      <c r="I69" s="280">
        <v>0</v>
      </c>
      <c r="J69" s="280">
        <v>0</v>
      </c>
      <c r="K69" s="280"/>
      <c r="L69" s="280" t="s">
        <v>740</v>
      </c>
      <c r="M69" s="280" t="s">
        <v>538</v>
      </c>
      <c r="N69" s="280" t="s">
        <v>741</v>
      </c>
      <c r="O69" s="280"/>
      <c r="P69" s="280" t="s">
        <v>769</v>
      </c>
      <c r="Q69" s="280" t="s">
        <v>770</v>
      </c>
      <c r="R69" s="280"/>
      <c r="S69" s="280" t="s">
        <v>771</v>
      </c>
      <c r="T69" s="280" t="s">
        <v>772</v>
      </c>
      <c r="U69" s="280" t="s">
        <v>30</v>
      </c>
      <c r="V69" s="280" t="s">
        <v>538</v>
      </c>
      <c r="W69" s="280" t="s">
        <v>606</v>
      </c>
      <c r="X69" s="280">
        <f t="shared" ref="X69:X86" si="2">IF($W69="Critical Importance",20,IF($W69="Minor Importance",5,10))</f>
        <v>20</v>
      </c>
    </row>
    <row r="70" spans="1:24" ht="139.5" customHeight="1" x14ac:dyDescent="0.2">
      <c r="A70" s="281" t="s">
        <v>172</v>
      </c>
      <c r="B70" s="281" t="s">
        <v>773</v>
      </c>
      <c r="C70" s="280">
        <v>0</v>
      </c>
      <c r="D70" s="280">
        <v>0</v>
      </c>
      <c r="E70" s="280">
        <v>0</v>
      </c>
      <c r="F70" s="280">
        <v>1</v>
      </c>
      <c r="G70" s="280">
        <v>0</v>
      </c>
      <c r="H70" s="280">
        <v>0</v>
      </c>
      <c r="I70" s="280">
        <v>0</v>
      </c>
      <c r="J70" s="280">
        <v>0</v>
      </c>
      <c r="K70" s="280"/>
      <c r="L70" s="280" t="s">
        <v>740</v>
      </c>
      <c r="M70" s="280" t="s">
        <v>538</v>
      </c>
      <c r="N70" s="280" t="s">
        <v>741</v>
      </c>
      <c r="O70" s="280"/>
      <c r="P70" s="280" t="s">
        <v>774</v>
      </c>
      <c r="Q70" s="280" t="s">
        <v>775</v>
      </c>
      <c r="R70" s="280"/>
      <c r="S70" s="280" t="s">
        <v>776</v>
      </c>
      <c r="T70" s="280" t="s">
        <v>777</v>
      </c>
      <c r="U70" s="280" t="s">
        <v>30</v>
      </c>
      <c r="V70" s="280" t="s">
        <v>538</v>
      </c>
      <c r="W70" s="280" t="s">
        <v>606</v>
      </c>
      <c r="X70" s="280">
        <f t="shared" si="2"/>
        <v>20</v>
      </c>
    </row>
    <row r="71" spans="1:24" ht="210" customHeight="1" x14ac:dyDescent="0.2">
      <c r="A71" s="280" t="s">
        <v>173</v>
      </c>
      <c r="B71" s="280" t="s">
        <v>778</v>
      </c>
      <c r="C71" s="280">
        <v>0</v>
      </c>
      <c r="D71" s="280">
        <v>0</v>
      </c>
      <c r="E71" s="280">
        <v>0</v>
      </c>
      <c r="F71" s="280">
        <v>1</v>
      </c>
      <c r="G71" s="280">
        <v>0</v>
      </c>
      <c r="H71" s="280">
        <v>0</v>
      </c>
      <c r="I71" s="280">
        <v>0</v>
      </c>
      <c r="J71" s="280">
        <v>1</v>
      </c>
      <c r="K71" s="280"/>
      <c r="L71" s="280" t="s">
        <v>740</v>
      </c>
      <c r="M71" s="280" t="s">
        <v>538</v>
      </c>
      <c r="N71" s="280" t="s">
        <v>741</v>
      </c>
      <c r="O71" s="280" t="s">
        <v>779</v>
      </c>
      <c r="P71" s="280" t="s">
        <v>780</v>
      </c>
      <c r="Q71" s="280" t="s">
        <v>779</v>
      </c>
      <c r="R71" s="280"/>
      <c r="S71" s="280" t="s">
        <v>781</v>
      </c>
      <c r="T71" s="280" t="s">
        <v>782</v>
      </c>
      <c r="U71" s="280" t="s">
        <v>30</v>
      </c>
      <c r="V71" s="280" t="s">
        <v>538</v>
      </c>
      <c r="W71" s="280" t="s">
        <v>555</v>
      </c>
      <c r="X71" s="280">
        <f t="shared" si="2"/>
        <v>10</v>
      </c>
    </row>
    <row r="72" spans="1:24" ht="223.5" customHeight="1" x14ac:dyDescent="0.2">
      <c r="A72" s="280" t="s">
        <v>174</v>
      </c>
      <c r="B72" s="280" t="s">
        <v>783</v>
      </c>
      <c r="C72" s="280">
        <v>0</v>
      </c>
      <c r="D72" s="280">
        <v>0</v>
      </c>
      <c r="E72" s="280">
        <v>0</v>
      </c>
      <c r="F72" s="280">
        <v>1</v>
      </c>
      <c r="G72" s="280">
        <v>0</v>
      </c>
      <c r="H72" s="280">
        <v>0</v>
      </c>
      <c r="I72" s="280">
        <v>0</v>
      </c>
      <c r="J72" s="280">
        <v>0</v>
      </c>
      <c r="K72" s="280"/>
      <c r="L72" s="280" t="s">
        <v>740</v>
      </c>
      <c r="M72" s="280" t="s">
        <v>538</v>
      </c>
      <c r="N72" s="280" t="s">
        <v>741</v>
      </c>
      <c r="O72" s="280"/>
      <c r="P72" s="280" t="s">
        <v>784</v>
      </c>
      <c r="Q72" s="280" t="s">
        <v>785</v>
      </c>
      <c r="R72" s="280"/>
      <c r="S72" s="280" t="s">
        <v>786</v>
      </c>
      <c r="T72" s="280" t="s">
        <v>787</v>
      </c>
      <c r="U72" s="280" t="s">
        <v>30</v>
      </c>
      <c r="V72" s="280" t="s">
        <v>538</v>
      </c>
      <c r="W72" s="280" t="s">
        <v>555</v>
      </c>
      <c r="X72" s="280">
        <f t="shared" si="2"/>
        <v>10</v>
      </c>
    </row>
    <row r="73" spans="1:24" ht="252" customHeight="1" x14ac:dyDescent="0.2">
      <c r="A73" s="280" t="s">
        <v>175</v>
      </c>
      <c r="B73" s="280" t="s">
        <v>788</v>
      </c>
      <c r="C73" s="280">
        <v>0</v>
      </c>
      <c r="D73" s="280">
        <v>0</v>
      </c>
      <c r="E73" s="280">
        <v>0</v>
      </c>
      <c r="F73" s="280">
        <v>1</v>
      </c>
      <c r="G73" s="280">
        <v>0</v>
      </c>
      <c r="H73" s="280">
        <v>0</v>
      </c>
      <c r="I73" s="280">
        <v>0</v>
      </c>
      <c r="J73" s="280">
        <v>0</v>
      </c>
      <c r="K73" s="280"/>
      <c r="L73" s="280" t="s">
        <v>740</v>
      </c>
      <c r="M73" s="280" t="s">
        <v>538</v>
      </c>
      <c r="N73" s="280" t="s">
        <v>741</v>
      </c>
      <c r="O73" s="280" t="s">
        <v>789</v>
      </c>
      <c r="P73" s="280" t="s">
        <v>629</v>
      </c>
      <c r="Q73" s="280" t="s">
        <v>790</v>
      </c>
      <c r="R73" s="280"/>
      <c r="S73" s="280" t="s">
        <v>791</v>
      </c>
      <c r="T73" s="280" t="s">
        <v>792</v>
      </c>
      <c r="U73" s="280" t="s">
        <v>30</v>
      </c>
      <c r="V73" s="280" t="s">
        <v>538</v>
      </c>
      <c r="W73" s="280" t="s">
        <v>555</v>
      </c>
      <c r="X73" s="280">
        <f t="shared" si="2"/>
        <v>10</v>
      </c>
    </row>
    <row r="74" spans="1:24" ht="181.5" customHeight="1" x14ac:dyDescent="0.2">
      <c r="A74" s="280" t="s">
        <v>176</v>
      </c>
      <c r="B74" s="280" t="s">
        <v>793</v>
      </c>
      <c r="C74" s="280">
        <v>0</v>
      </c>
      <c r="D74" s="280">
        <v>0</v>
      </c>
      <c r="E74" s="280">
        <v>0</v>
      </c>
      <c r="F74" s="280">
        <v>1</v>
      </c>
      <c r="G74" s="280">
        <v>0</v>
      </c>
      <c r="H74" s="280">
        <v>0</v>
      </c>
      <c r="I74" s="280">
        <v>0</v>
      </c>
      <c r="J74" s="280">
        <v>0</v>
      </c>
      <c r="K74" s="280"/>
      <c r="L74" s="280" t="s">
        <v>740</v>
      </c>
      <c r="M74" s="280" t="s">
        <v>538</v>
      </c>
      <c r="N74" s="280" t="s">
        <v>741</v>
      </c>
      <c r="O74" s="280"/>
      <c r="P74" s="280" t="s">
        <v>794</v>
      </c>
      <c r="Q74" s="280" t="s">
        <v>795</v>
      </c>
      <c r="R74" s="280"/>
      <c r="S74" s="280" t="s">
        <v>796</v>
      </c>
      <c r="T74" s="280" t="s">
        <v>797</v>
      </c>
      <c r="U74" s="280" t="s">
        <v>30</v>
      </c>
      <c r="V74" s="280" t="s">
        <v>538</v>
      </c>
      <c r="W74" s="280" t="s">
        <v>555</v>
      </c>
      <c r="X74" s="280">
        <f t="shared" si="2"/>
        <v>10</v>
      </c>
    </row>
    <row r="75" spans="1:24" ht="181.5" customHeight="1" x14ac:dyDescent="0.2">
      <c r="A75" s="280" t="s">
        <v>177</v>
      </c>
      <c r="B75" s="280" t="s">
        <v>798</v>
      </c>
      <c r="C75" s="280">
        <v>0</v>
      </c>
      <c r="D75" s="280">
        <v>0</v>
      </c>
      <c r="E75" s="280">
        <v>0</v>
      </c>
      <c r="F75" s="280">
        <v>1</v>
      </c>
      <c r="G75" s="280">
        <v>0</v>
      </c>
      <c r="H75" s="280">
        <v>0</v>
      </c>
      <c r="I75" s="280">
        <v>0</v>
      </c>
      <c r="J75" s="280">
        <v>0</v>
      </c>
      <c r="K75" s="280"/>
      <c r="L75" s="280" t="s">
        <v>740</v>
      </c>
      <c r="M75" s="280" t="s">
        <v>538</v>
      </c>
      <c r="N75" s="280" t="s">
        <v>741</v>
      </c>
      <c r="O75" s="280"/>
      <c r="P75" s="280" t="s">
        <v>799</v>
      </c>
      <c r="Q75" s="280" t="s">
        <v>800</v>
      </c>
      <c r="R75" s="280"/>
      <c r="S75" s="280" t="s">
        <v>796</v>
      </c>
      <c r="T75" s="280" t="s">
        <v>797</v>
      </c>
      <c r="U75" s="280" t="s">
        <v>30</v>
      </c>
      <c r="V75" s="280" t="s">
        <v>538</v>
      </c>
      <c r="W75" s="280" t="s">
        <v>555</v>
      </c>
      <c r="X75" s="280">
        <f t="shared" si="2"/>
        <v>10</v>
      </c>
    </row>
    <row r="76" spans="1:24" ht="126" customHeight="1" x14ac:dyDescent="0.2">
      <c r="A76" s="280" t="s">
        <v>178</v>
      </c>
      <c r="B76" s="280" t="s">
        <v>801</v>
      </c>
      <c r="C76" s="280">
        <v>0</v>
      </c>
      <c r="D76" s="280">
        <v>0</v>
      </c>
      <c r="E76" s="280">
        <v>0</v>
      </c>
      <c r="F76" s="280">
        <v>1</v>
      </c>
      <c r="G76" s="280">
        <v>0</v>
      </c>
      <c r="H76" s="280">
        <v>0</v>
      </c>
      <c r="I76" s="280">
        <v>0</v>
      </c>
      <c r="J76" s="280">
        <v>0</v>
      </c>
      <c r="K76" s="280"/>
      <c r="L76" s="280" t="s">
        <v>740</v>
      </c>
      <c r="M76" s="280" t="s">
        <v>538</v>
      </c>
      <c r="N76" s="280" t="s">
        <v>741</v>
      </c>
      <c r="O76" s="280" t="s">
        <v>802</v>
      </c>
      <c r="P76" s="280" t="s">
        <v>803</v>
      </c>
      <c r="Q76" s="280" t="s">
        <v>804</v>
      </c>
      <c r="R76" s="280" t="s">
        <v>732</v>
      </c>
      <c r="S76" s="280" t="s">
        <v>805</v>
      </c>
      <c r="T76" s="280" t="s">
        <v>806</v>
      </c>
      <c r="U76" s="280" t="s">
        <v>30</v>
      </c>
      <c r="V76" s="280" t="s">
        <v>538</v>
      </c>
      <c r="W76" s="280" t="s">
        <v>564</v>
      </c>
      <c r="X76" s="280">
        <f t="shared" si="2"/>
        <v>5</v>
      </c>
    </row>
    <row r="77" spans="1:24" ht="181.5" customHeight="1" x14ac:dyDescent="0.2">
      <c r="A77" s="280" t="s">
        <v>179</v>
      </c>
      <c r="B77" s="280" t="s">
        <v>807</v>
      </c>
      <c r="C77" s="280">
        <v>0</v>
      </c>
      <c r="D77" s="280">
        <v>0</v>
      </c>
      <c r="E77" s="280">
        <v>0</v>
      </c>
      <c r="F77" s="280">
        <v>1</v>
      </c>
      <c r="G77" s="280">
        <v>0</v>
      </c>
      <c r="H77" s="280">
        <v>0</v>
      </c>
      <c r="I77" s="280">
        <v>0</v>
      </c>
      <c r="J77" s="280">
        <v>0</v>
      </c>
      <c r="K77" s="280"/>
      <c r="L77" s="280" t="s">
        <v>740</v>
      </c>
      <c r="M77" s="280" t="s">
        <v>538</v>
      </c>
      <c r="N77" s="280" t="s">
        <v>741</v>
      </c>
      <c r="O77" s="280"/>
      <c r="P77" s="280" t="s">
        <v>808</v>
      </c>
      <c r="Q77" s="280" t="s">
        <v>809</v>
      </c>
      <c r="R77" s="280"/>
      <c r="S77" s="280" t="s">
        <v>810</v>
      </c>
      <c r="T77" s="280" t="s">
        <v>811</v>
      </c>
      <c r="U77" s="280" t="s">
        <v>30</v>
      </c>
      <c r="V77" s="280" t="s">
        <v>538</v>
      </c>
      <c r="W77" s="280" t="s">
        <v>564</v>
      </c>
      <c r="X77" s="280">
        <f t="shared" si="2"/>
        <v>5</v>
      </c>
    </row>
    <row r="78" spans="1:24" ht="181.5" customHeight="1" x14ac:dyDescent="0.2">
      <c r="A78" s="281" t="s">
        <v>124</v>
      </c>
      <c r="B78" s="281" t="s">
        <v>812</v>
      </c>
      <c r="C78" s="280">
        <v>0</v>
      </c>
      <c r="D78" s="280">
        <v>0</v>
      </c>
      <c r="E78" s="280">
        <v>1</v>
      </c>
      <c r="F78" s="280">
        <v>0</v>
      </c>
      <c r="G78" s="280">
        <v>0</v>
      </c>
      <c r="H78" s="280">
        <v>0</v>
      </c>
      <c r="I78" s="280">
        <v>0</v>
      </c>
      <c r="J78" s="280">
        <v>1</v>
      </c>
      <c r="K78" s="280"/>
      <c r="L78" s="280" t="s">
        <v>516</v>
      </c>
      <c r="M78" s="280" t="s">
        <v>538</v>
      </c>
      <c r="N78" s="280" t="s">
        <v>741</v>
      </c>
      <c r="O78" s="280" t="s">
        <v>813</v>
      </c>
      <c r="P78" s="280" t="s">
        <v>814</v>
      </c>
      <c r="Q78" s="280" t="s">
        <v>815</v>
      </c>
      <c r="R78" s="280"/>
      <c r="S78" s="280" t="s">
        <v>816</v>
      </c>
      <c r="T78" s="280" t="s">
        <v>817</v>
      </c>
      <c r="U78" s="280" t="s">
        <v>30</v>
      </c>
      <c r="V78" s="280" t="s">
        <v>538</v>
      </c>
      <c r="W78" s="280" t="s">
        <v>606</v>
      </c>
      <c r="X78" s="280">
        <f t="shared" si="2"/>
        <v>20</v>
      </c>
    </row>
    <row r="79" spans="1:24" ht="181.5" customHeight="1" x14ac:dyDescent="0.2">
      <c r="A79" s="281" t="s">
        <v>125</v>
      </c>
      <c r="B79" s="281" t="s">
        <v>818</v>
      </c>
      <c r="C79" s="280">
        <v>0</v>
      </c>
      <c r="D79" s="280">
        <v>0</v>
      </c>
      <c r="E79" s="280">
        <v>1</v>
      </c>
      <c r="F79" s="280">
        <v>0</v>
      </c>
      <c r="G79" s="280">
        <v>0</v>
      </c>
      <c r="H79" s="280">
        <v>0</v>
      </c>
      <c r="I79" s="280">
        <v>0</v>
      </c>
      <c r="J79" s="280">
        <v>1</v>
      </c>
      <c r="K79" s="280"/>
      <c r="L79" s="280" t="s">
        <v>516</v>
      </c>
      <c r="M79" s="280" t="s">
        <v>538</v>
      </c>
      <c r="N79" s="280" t="s">
        <v>741</v>
      </c>
      <c r="O79" s="280"/>
      <c r="P79" s="280" t="s">
        <v>819</v>
      </c>
      <c r="Q79" s="280" t="s">
        <v>820</v>
      </c>
      <c r="R79" s="280" t="s">
        <v>821</v>
      </c>
      <c r="S79" s="280" t="s">
        <v>822</v>
      </c>
      <c r="T79" s="280" t="s">
        <v>823</v>
      </c>
      <c r="U79" s="280" t="s">
        <v>30</v>
      </c>
      <c r="V79" s="280" t="s">
        <v>538</v>
      </c>
      <c r="W79" s="280" t="s">
        <v>606</v>
      </c>
      <c r="X79" s="280">
        <f t="shared" si="2"/>
        <v>20</v>
      </c>
    </row>
    <row r="80" spans="1:24" ht="153.75" customHeight="1" x14ac:dyDescent="0.2">
      <c r="A80" s="281" t="s">
        <v>126</v>
      </c>
      <c r="B80" s="281" t="s">
        <v>824</v>
      </c>
      <c r="C80" s="280">
        <v>0</v>
      </c>
      <c r="D80" s="280">
        <v>0</v>
      </c>
      <c r="E80" s="280">
        <v>1</v>
      </c>
      <c r="F80" s="280">
        <v>0</v>
      </c>
      <c r="G80" s="280">
        <v>0</v>
      </c>
      <c r="H80" s="280">
        <v>0</v>
      </c>
      <c r="I80" s="280">
        <v>0</v>
      </c>
      <c r="J80" s="280">
        <v>0</v>
      </c>
      <c r="K80" s="280"/>
      <c r="L80" s="280" t="s">
        <v>516</v>
      </c>
      <c r="M80" s="280" t="s">
        <v>538</v>
      </c>
      <c r="N80" s="280" t="s">
        <v>741</v>
      </c>
      <c r="O80" s="280"/>
      <c r="P80" s="280" t="s">
        <v>825</v>
      </c>
      <c r="Q80" s="280" t="s">
        <v>826</v>
      </c>
      <c r="R80" s="280" t="s">
        <v>821</v>
      </c>
      <c r="S80" s="280" t="s">
        <v>827</v>
      </c>
      <c r="T80" s="280" t="s">
        <v>828</v>
      </c>
      <c r="U80" s="280" t="s">
        <v>30</v>
      </c>
      <c r="V80" s="280" t="s">
        <v>538</v>
      </c>
      <c r="W80" s="280" t="s">
        <v>606</v>
      </c>
      <c r="X80" s="280">
        <f t="shared" si="2"/>
        <v>20</v>
      </c>
    </row>
    <row r="81" spans="1:24" ht="153.75" customHeight="1" x14ac:dyDescent="0.2">
      <c r="A81" s="281" t="s">
        <v>127</v>
      </c>
      <c r="B81" s="281" t="s">
        <v>829</v>
      </c>
      <c r="C81" s="280">
        <v>0</v>
      </c>
      <c r="D81" s="280">
        <v>0</v>
      </c>
      <c r="E81" s="280">
        <v>1</v>
      </c>
      <c r="F81" s="280">
        <v>0</v>
      </c>
      <c r="G81" s="280">
        <v>0</v>
      </c>
      <c r="H81" s="280">
        <v>0</v>
      </c>
      <c r="I81" s="280">
        <v>0</v>
      </c>
      <c r="J81" s="280">
        <v>0</v>
      </c>
      <c r="K81" s="280"/>
      <c r="L81" s="280" t="s">
        <v>516</v>
      </c>
      <c r="M81" s="280" t="s">
        <v>538</v>
      </c>
      <c r="N81" s="280" t="s">
        <v>741</v>
      </c>
      <c r="O81" s="280" t="s">
        <v>830</v>
      </c>
      <c r="P81" s="280"/>
      <c r="Q81" s="280" t="s">
        <v>831</v>
      </c>
      <c r="R81" s="280" t="s">
        <v>821</v>
      </c>
      <c r="S81" s="280" t="s">
        <v>827</v>
      </c>
      <c r="T81" s="280" t="s">
        <v>832</v>
      </c>
      <c r="U81" s="280" t="s">
        <v>26</v>
      </c>
      <c r="V81" s="280" t="s">
        <v>538</v>
      </c>
      <c r="W81" s="280" t="s">
        <v>606</v>
      </c>
      <c r="X81" s="280">
        <f t="shared" si="2"/>
        <v>20</v>
      </c>
    </row>
    <row r="82" spans="1:24" ht="168" customHeight="1" x14ac:dyDescent="0.2">
      <c r="A82" s="281" t="s">
        <v>128</v>
      </c>
      <c r="B82" s="281" t="s">
        <v>833</v>
      </c>
      <c r="C82" s="280">
        <v>0</v>
      </c>
      <c r="D82" s="280">
        <v>0</v>
      </c>
      <c r="E82" s="280">
        <v>1</v>
      </c>
      <c r="F82" s="280">
        <v>0</v>
      </c>
      <c r="G82" s="280">
        <v>0</v>
      </c>
      <c r="H82" s="280">
        <v>0</v>
      </c>
      <c r="I82" s="280">
        <v>0</v>
      </c>
      <c r="J82" s="280">
        <v>0</v>
      </c>
      <c r="K82" s="280"/>
      <c r="L82" s="280" t="s">
        <v>516</v>
      </c>
      <c r="M82" s="280" t="s">
        <v>538</v>
      </c>
      <c r="N82" s="280" t="s">
        <v>741</v>
      </c>
      <c r="O82" s="280"/>
      <c r="P82" s="280" t="s">
        <v>834</v>
      </c>
      <c r="Q82" s="280" t="s">
        <v>835</v>
      </c>
      <c r="R82" s="280" t="s">
        <v>821</v>
      </c>
      <c r="S82" s="280" t="s">
        <v>836</v>
      </c>
      <c r="T82" s="280" t="s">
        <v>837</v>
      </c>
      <c r="U82" s="280" t="s">
        <v>30</v>
      </c>
      <c r="V82" s="280" t="s">
        <v>538</v>
      </c>
      <c r="W82" s="280" t="s">
        <v>606</v>
      </c>
      <c r="X82" s="280">
        <f t="shared" si="2"/>
        <v>20</v>
      </c>
    </row>
    <row r="83" spans="1:24" ht="139.5" customHeight="1" x14ac:dyDescent="0.2">
      <c r="A83" s="281" t="s">
        <v>129</v>
      </c>
      <c r="B83" s="281" t="s">
        <v>838</v>
      </c>
      <c r="C83" s="280">
        <v>0</v>
      </c>
      <c r="D83" s="280">
        <v>0</v>
      </c>
      <c r="E83" s="280">
        <v>1</v>
      </c>
      <c r="F83" s="280">
        <v>0</v>
      </c>
      <c r="G83" s="280">
        <v>0</v>
      </c>
      <c r="H83" s="280">
        <v>0</v>
      </c>
      <c r="I83" s="280">
        <v>0</v>
      </c>
      <c r="J83" s="280">
        <v>0</v>
      </c>
      <c r="K83" s="280"/>
      <c r="L83" s="280" t="s">
        <v>516</v>
      </c>
      <c r="M83" s="280" t="s">
        <v>538</v>
      </c>
      <c r="N83" s="280" t="s">
        <v>741</v>
      </c>
      <c r="O83" s="280"/>
      <c r="P83" s="280" t="s">
        <v>839</v>
      </c>
      <c r="Q83" s="280" t="s">
        <v>840</v>
      </c>
      <c r="R83" s="280"/>
      <c r="S83" s="280" t="s">
        <v>841</v>
      </c>
      <c r="T83" s="280" t="s">
        <v>842</v>
      </c>
      <c r="U83" s="280" t="s">
        <v>30</v>
      </c>
      <c r="V83" s="280" t="s">
        <v>538</v>
      </c>
      <c r="W83" s="280" t="s">
        <v>606</v>
      </c>
      <c r="X83" s="280">
        <f t="shared" si="2"/>
        <v>20</v>
      </c>
    </row>
    <row r="84" spans="1:24" ht="153.75" customHeight="1" x14ac:dyDescent="0.2">
      <c r="A84" s="281" t="s">
        <v>130</v>
      </c>
      <c r="B84" s="281" t="s">
        <v>843</v>
      </c>
      <c r="C84" s="280">
        <v>0</v>
      </c>
      <c r="D84" s="280">
        <v>0</v>
      </c>
      <c r="E84" s="280">
        <v>1</v>
      </c>
      <c r="F84" s="280">
        <v>0</v>
      </c>
      <c r="G84" s="280">
        <v>0</v>
      </c>
      <c r="H84" s="280">
        <v>0</v>
      </c>
      <c r="I84" s="280">
        <v>0</v>
      </c>
      <c r="J84" s="280">
        <v>0</v>
      </c>
      <c r="K84" s="280"/>
      <c r="L84" s="280" t="s">
        <v>516</v>
      </c>
      <c r="M84" s="280" t="s">
        <v>538</v>
      </c>
      <c r="N84" s="280" t="s">
        <v>741</v>
      </c>
      <c r="O84" s="280"/>
      <c r="P84" s="280"/>
      <c r="Q84" s="280" t="s">
        <v>844</v>
      </c>
      <c r="R84" s="280"/>
      <c r="S84" s="280" t="s">
        <v>845</v>
      </c>
      <c r="T84" s="280" t="s">
        <v>846</v>
      </c>
      <c r="U84" s="280" t="s">
        <v>26</v>
      </c>
      <c r="V84" s="280" t="s">
        <v>538</v>
      </c>
      <c r="W84" s="280" t="s">
        <v>606</v>
      </c>
      <c r="X84" s="280">
        <f t="shared" si="2"/>
        <v>20</v>
      </c>
    </row>
    <row r="85" spans="1:24" ht="84" customHeight="1" x14ac:dyDescent="0.2">
      <c r="A85" s="281" t="s">
        <v>131</v>
      </c>
      <c r="B85" s="281" t="s">
        <v>847</v>
      </c>
      <c r="C85" s="280">
        <v>0</v>
      </c>
      <c r="D85" s="280">
        <v>0</v>
      </c>
      <c r="E85" s="280">
        <v>1</v>
      </c>
      <c r="F85" s="280">
        <v>0</v>
      </c>
      <c r="G85" s="280">
        <v>0</v>
      </c>
      <c r="H85" s="280">
        <v>0</v>
      </c>
      <c r="I85" s="280">
        <v>0</v>
      </c>
      <c r="J85" s="280">
        <v>0</v>
      </c>
      <c r="K85" s="280"/>
      <c r="L85" s="280" t="s">
        <v>516</v>
      </c>
      <c r="M85" s="280" t="s">
        <v>538</v>
      </c>
      <c r="N85" s="280" t="s">
        <v>741</v>
      </c>
      <c r="O85" s="280"/>
      <c r="P85" s="280"/>
      <c r="Q85" s="280" t="s">
        <v>848</v>
      </c>
      <c r="R85" s="280"/>
      <c r="S85" s="280" t="s">
        <v>849</v>
      </c>
      <c r="T85" s="280" t="s">
        <v>850</v>
      </c>
      <c r="U85" s="280" t="s">
        <v>26</v>
      </c>
      <c r="V85" s="280" t="s">
        <v>538</v>
      </c>
      <c r="W85" s="280" t="s">
        <v>606</v>
      </c>
      <c r="X85" s="280">
        <f t="shared" si="2"/>
        <v>20</v>
      </c>
    </row>
    <row r="86" spans="1:24" ht="195.75" customHeight="1" x14ac:dyDescent="0.2">
      <c r="A86" s="281" t="s">
        <v>132</v>
      </c>
      <c r="B86" s="281" t="s">
        <v>851</v>
      </c>
      <c r="C86" s="280">
        <v>0</v>
      </c>
      <c r="D86" s="280">
        <v>0</v>
      </c>
      <c r="E86" s="280">
        <v>1</v>
      </c>
      <c r="F86" s="280">
        <v>0</v>
      </c>
      <c r="G86" s="280">
        <v>0</v>
      </c>
      <c r="H86" s="280">
        <v>0</v>
      </c>
      <c r="I86" s="280">
        <v>0</v>
      </c>
      <c r="J86" s="280">
        <v>1</v>
      </c>
      <c r="K86" s="280"/>
      <c r="L86" s="280" t="s">
        <v>516</v>
      </c>
      <c r="M86" s="280" t="s">
        <v>538</v>
      </c>
      <c r="N86" s="280" t="s">
        <v>741</v>
      </c>
      <c r="O86" s="280"/>
      <c r="P86" s="280" t="s">
        <v>852</v>
      </c>
      <c r="Q86" s="280"/>
      <c r="R86" s="280"/>
      <c r="S86" s="280" t="s">
        <v>853</v>
      </c>
      <c r="T86" s="280" t="s">
        <v>854</v>
      </c>
      <c r="U86" s="280" t="s">
        <v>30</v>
      </c>
      <c r="V86" s="280" t="s">
        <v>538</v>
      </c>
      <c r="W86" s="280" t="s">
        <v>606</v>
      </c>
      <c r="X86" s="280">
        <f t="shared" si="2"/>
        <v>20</v>
      </c>
    </row>
    <row r="87" spans="1:24" ht="237.75" customHeight="1" x14ac:dyDescent="0.2">
      <c r="A87" s="281" t="s">
        <v>133</v>
      </c>
      <c r="B87" s="281" t="s">
        <v>855</v>
      </c>
      <c r="C87" s="280">
        <v>0</v>
      </c>
      <c r="D87" s="280">
        <v>0</v>
      </c>
      <c r="E87" s="280">
        <v>1</v>
      </c>
      <c r="F87" s="280">
        <v>0</v>
      </c>
      <c r="G87" s="280">
        <v>0</v>
      </c>
      <c r="H87" s="280">
        <v>0</v>
      </c>
      <c r="I87" s="280">
        <v>0</v>
      </c>
      <c r="J87" s="280">
        <v>0</v>
      </c>
      <c r="K87" s="280"/>
      <c r="L87" s="280" t="s">
        <v>469</v>
      </c>
      <c r="M87" s="280" t="s">
        <v>538</v>
      </c>
      <c r="N87" s="280" t="s">
        <v>741</v>
      </c>
      <c r="O87" s="280" t="s">
        <v>856</v>
      </c>
      <c r="P87" s="280" t="s">
        <v>856</v>
      </c>
      <c r="Q87" s="280" t="s">
        <v>856</v>
      </c>
      <c r="R87" s="280"/>
      <c r="S87" s="280" t="s">
        <v>857</v>
      </c>
      <c r="T87" s="280" t="s">
        <v>854</v>
      </c>
      <c r="U87" s="280" t="s">
        <v>469</v>
      </c>
      <c r="V87" s="280" t="s">
        <v>538</v>
      </c>
      <c r="W87" s="280"/>
      <c r="X87" s="280"/>
    </row>
    <row r="88" spans="1:24" ht="195.75" customHeight="1" x14ac:dyDescent="0.2">
      <c r="A88" s="281" t="s">
        <v>134</v>
      </c>
      <c r="B88" s="281" t="s">
        <v>858</v>
      </c>
      <c r="C88" s="280">
        <v>0</v>
      </c>
      <c r="D88" s="280">
        <v>0</v>
      </c>
      <c r="E88" s="280">
        <v>1</v>
      </c>
      <c r="F88" s="280">
        <v>0</v>
      </c>
      <c r="G88" s="280">
        <v>0</v>
      </c>
      <c r="H88" s="280">
        <v>0</v>
      </c>
      <c r="I88" s="280">
        <v>0</v>
      </c>
      <c r="J88" s="280">
        <v>1</v>
      </c>
      <c r="K88" s="280"/>
      <c r="L88" s="280" t="s">
        <v>516</v>
      </c>
      <c r="M88" s="280" t="s">
        <v>538</v>
      </c>
      <c r="N88" s="280" t="s">
        <v>741</v>
      </c>
      <c r="O88" s="280" t="s">
        <v>859</v>
      </c>
      <c r="P88" s="280" t="s">
        <v>859</v>
      </c>
      <c r="Q88" s="280" t="s">
        <v>859</v>
      </c>
      <c r="R88" s="280"/>
      <c r="S88" s="280" t="s">
        <v>860</v>
      </c>
      <c r="T88" s="280" t="s">
        <v>861</v>
      </c>
      <c r="U88" s="280" t="s">
        <v>30</v>
      </c>
      <c r="V88" s="280" t="s">
        <v>538</v>
      </c>
      <c r="W88" s="280" t="s">
        <v>606</v>
      </c>
      <c r="X88" s="280">
        <f t="shared" ref="X88:X134" si="3">IF($W88="Critical Importance",20,IF($W88="Minor Importance",5,10))</f>
        <v>20</v>
      </c>
    </row>
    <row r="89" spans="1:24" ht="252" customHeight="1" x14ac:dyDescent="0.2">
      <c r="A89" s="280" t="s">
        <v>135</v>
      </c>
      <c r="B89" s="280" t="s">
        <v>862</v>
      </c>
      <c r="C89" s="280">
        <v>0</v>
      </c>
      <c r="D89" s="280">
        <v>0</v>
      </c>
      <c r="E89" s="280">
        <v>1</v>
      </c>
      <c r="F89" s="280">
        <v>0</v>
      </c>
      <c r="G89" s="280">
        <v>0</v>
      </c>
      <c r="H89" s="280">
        <v>0</v>
      </c>
      <c r="I89" s="280">
        <v>0</v>
      </c>
      <c r="J89" s="280">
        <v>0</v>
      </c>
      <c r="K89" s="280"/>
      <c r="L89" s="280" t="s">
        <v>516</v>
      </c>
      <c r="M89" s="280" t="s">
        <v>538</v>
      </c>
      <c r="N89" s="280" t="s">
        <v>741</v>
      </c>
      <c r="O89" s="280"/>
      <c r="P89" s="280" t="s">
        <v>863</v>
      </c>
      <c r="Q89" s="280" t="s">
        <v>864</v>
      </c>
      <c r="R89" s="280" t="s">
        <v>821</v>
      </c>
      <c r="S89" s="280" t="s">
        <v>865</v>
      </c>
      <c r="T89" s="280" t="s">
        <v>866</v>
      </c>
      <c r="U89" s="280" t="s">
        <v>30</v>
      </c>
      <c r="V89" s="280" t="s">
        <v>538</v>
      </c>
      <c r="W89" s="280" t="s">
        <v>555</v>
      </c>
      <c r="X89" s="280">
        <f t="shared" si="3"/>
        <v>10</v>
      </c>
    </row>
    <row r="90" spans="1:24" ht="126" customHeight="1" x14ac:dyDescent="0.2">
      <c r="A90" s="280" t="s">
        <v>136</v>
      </c>
      <c r="B90" s="280" t="s">
        <v>867</v>
      </c>
      <c r="C90" s="280">
        <v>0</v>
      </c>
      <c r="D90" s="280">
        <v>0</v>
      </c>
      <c r="E90" s="280">
        <v>1</v>
      </c>
      <c r="F90" s="280">
        <v>0</v>
      </c>
      <c r="G90" s="280">
        <v>0</v>
      </c>
      <c r="H90" s="280">
        <v>0</v>
      </c>
      <c r="I90" s="280">
        <v>0</v>
      </c>
      <c r="J90" s="280">
        <v>0</v>
      </c>
      <c r="K90" s="280"/>
      <c r="L90" s="280" t="s">
        <v>516</v>
      </c>
      <c r="M90" s="280" t="s">
        <v>538</v>
      </c>
      <c r="N90" s="280" t="s">
        <v>741</v>
      </c>
      <c r="O90" s="280"/>
      <c r="P90" s="280" t="s">
        <v>868</v>
      </c>
      <c r="Q90" s="280"/>
      <c r="R90" s="280"/>
      <c r="S90" s="280" t="s">
        <v>869</v>
      </c>
      <c r="T90" s="280" t="s">
        <v>870</v>
      </c>
      <c r="U90" s="280" t="s">
        <v>30</v>
      </c>
      <c r="V90" s="280" t="s">
        <v>538</v>
      </c>
      <c r="W90" s="280" t="s">
        <v>555</v>
      </c>
      <c r="X90" s="280">
        <f t="shared" si="3"/>
        <v>10</v>
      </c>
    </row>
    <row r="91" spans="1:24" ht="223.5" customHeight="1" x14ac:dyDescent="0.2">
      <c r="A91" s="280" t="s">
        <v>137</v>
      </c>
      <c r="B91" s="280" t="s">
        <v>871</v>
      </c>
      <c r="C91" s="280">
        <v>0</v>
      </c>
      <c r="D91" s="280">
        <v>0</v>
      </c>
      <c r="E91" s="280">
        <v>1</v>
      </c>
      <c r="F91" s="280">
        <v>0</v>
      </c>
      <c r="G91" s="280">
        <v>0</v>
      </c>
      <c r="H91" s="280">
        <v>0</v>
      </c>
      <c r="I91" s="280">
        <v>0</v>
      </c>
      <c r="J91" s="280">
        <v>0</v>
      </c>
      <c r="K91" s="280"/>
      <c r="L91" s="280" t="s">
        <v>516</v>
      </c>
      <c r="M91" s="280" t="s">
        <v>538</v>
      </c>
      <c r="N91" s="280" t="s">
        <v>741</v>
      </c>
      <c r="O91" s="280"/>
      <c r="P91" s="280" t="s">
        <v>872</v>
      </c>
      <c r="Q91" s="280" t="s">
        <v>873</v>
      </c>
      <c r="R91" s="280" t="s">
        <v>821</v>
      </c>
      <c r="S91" s="280" t="s">
        <v>874</v>
      </c>
      <c r="T91" s="280" t="s">
        <v>875</v>
      </c>
      <c r="U91" s="280" t="s">
        <v>30</v>
      </c>
      <c r="V91" s="280" t="s">
        <v>538</v>
      </c>
      <c r="W91" s="280" t="s">
        <v>555</v>
      </c>
      <c r="X91" s="280">
        <f t="shared" si="3"/>
        <v>10</v>
      </c>
    </row>
    <row r="92" spans="1:24" ht="181.5" customHeight="1" x14ac:dyDescent="0.2">
      <c r="A92" s="280" t="s">
        <v>138</v>
      </c>
      <c r="B92" s="280" t="s">
        <v>876</v>
      </c>
      <c r="C92" s="280">
        <v>0</v>
      </c>
      <c r="D92" s="280">
        <v>0</v>
      </c>
      <c r="E92" s="280">
        <v>1</v>
      </c>
      <c r="F92" s="280">
        <v>0</v>
      </c>
      <c r="G92" s="280">
        <v>0</v>
      </c>
      <c r="H92" s="280">
        <v>0</v>
      </c>
      <c r="I92" s="280">
        <v>0</v>
      </c>
      <c r="J92" s="280">
        <v>0</v>
      </c>
      <c r="K92" s="280"/>
      <c r="L92" s="280" t="s">
        <v>516</v>
      </c>
      <c r="M92" s="280" t="s">
        <v>538</v>
      </c>
      <c r="N92" s="280" t="s">
        <v>741</v>
      </c>
      <c r="O92" s="280" t="s">
        <v>877</v>
      </c>
      <c r="P92" s="280" t="s">
        <v>878</v>
      </c>
      <c r="Q92" s="280" t="s">
        <v>879</v>
      </c>
      <c r="R92" s="280"/>
      <c r="S92" s="280" t="s">
        <v>816</v>
      </c>
      <c r="T92" s="280" t="s">
        <v>817</v>
      </c>
      <c r="U92" s="280" t="s">
        <v>30</v>
      </c>
      <c r="V92" s="280" t="s">
        <v>538</v>
      </c>
      <c r="W92" s="280" t="s">
        <v>564</v>
      </c>
      <c r="X92" s="280">
        <f t="shared" si="3"/>
        <v>5</v>
      </c>
    </row>
    <row r="93" spans="1:24" ht="126" customHeight="1" x14ac:dyDescent="0.2">
      <c r="A93" s="280" t="s">
        <v>139</v>
      </c>
      <c r="B93" s="280" t="s">
        <v>880</v>
      </c>
      <c r="C93" s="280">
        <v>0</v>
      </c>
      <c r="D93" s="280">
        <v>0</v>
      </c>
      <c r="E93" s="280">
        <v>1</v>
      </c>
      <c r="F93" s="280">
        <v>0</v>
      </c>
      <c r="G93" s="280">
        <v>0</v>
      </c>
      <c r="H93" s="280">
        <v>0</v>
      </c>
      <c r="I93" s="280">
        <v>0</v>
      </c>
      <c r="J93" s="280">
        <v>0</v>
      </c>
      <c r="K93" s="280"/>
      <c r="L93" s="280" t="s">
        <v>516</v>
      </c>
      <c r="M93" s="280" t="s">
        <v>538</v>
      </c>
      <c r="N93" s="280" t="s">
        <v>741</v>
      </c>
      <c r="O93" s="280"/>
      <c r="P93" s="280" t="s">
        <v>881</v>
      </c>
      <c r="Q93" s="280"/>
      <c r="R93" s="280"/>
      <c r="S93" s="280" t="s">
        <v>869</v>
      </c>
      <c r="T93" s="280" t="s">
        <v>882</v>
      </c>
      <c r="U93" s="280" t="s">
        <v>30</v>
      </c>
      <c r="V93" s="280" t="s">
        <v>538</v>
      </c>
      <c r="W93" s="280" t="s">
        <v>564</v>
      </c>
      <c r="X93" s="280">
        <f t="shared" si="3"/>
        <v>5</v>
      </c>
    </row>
    <row r="94" spans="1:24" ht="168" customHeight="1" x14ac:dyDescent="0.2">
      <c r="A94" s="280" t="s">
        <v>140</v>
      </c>
      <c r="B94" s="280" t="s">
        <v>883</v>
      </c>
      <c r="C94" s="280">
        <v>0</v>
      </c>
      <c r="D94" s="280">
        <v>0</v>
      </c>
      <c r="E94" s="280">
        <v>1</v>
      </c>
      <c r="F94" s="280">
        <v>0</v>
      </c>
      <c r="G94" s="280">
        <v>0</v>
      </c>
      <c r="H94" s="280">
        <v>0</v>
      </c>
      <c r="I94" s="280">
        <v>0</v>
      </c>
      <c r="J94" s="280">
        <v>1</v>
      </c>
      <c r="K94" s="280"/>
      <c r="L94" s="280" t="s">
        <v>516</v>
      </c>
      <c r="M94" s="280" t="s">
        <v>538</v>
      </c>
      <c r="N94" s="280" t="s">
        <v>741</v>
      </c>
      <c r="O94" s="280"/>
      <c r="P94" s="280" t="s">
        <v>884</v>
      </c>
      <c r="Q94" s="280" t="s">
        <v>885</v>
      </c>
      <c r="R94" s="280" t="s">
        <v>821</v>
      </c>
      <c r="S94" s="280" t="s">
        <v>886</v>
      </c>
      <c r="T94" s="280" t="s">
        <v>887</v>
      </c>
      <c r="U94" s="280" t="s">
        <v>30</v>
      </c>
      <c r="V94" s="280" t="s">
        <v>538</v>
      </c>
      <c r="W94" s="280" t="s">
        <v>564</v>
      </c>
      <c r="X94" s="280">
        <f t="shared" si="3"/>
        <v>5</v>
      </c>
    </row>
    <row r="95" spans="1:24" ht="55.5" customHeight="1" x14ac:dyDescent="0.2">
      <c r="A95" s="280" t="s">
        <v>141</v>
      </c>
      <c r="B95" s="280" t="s">
        <v>888</v>
      </c>
      <c r="C95" s="280">
        <v>0</v>
      </c>
      <c r="D95" s="280">
        <v>0</v>
      </c>
      <c r="E95" s="280">
        <v>1</v>
      </c>
      <c r="F95" s="280">
        <v>0</v>
      </c>
      <c r="G95" s="280">
        <v>0</v>
      </c>
      <c r="H95" s="280">
        <v>0</v>
      </c>
      <c r="I95" s="280">
        <v>0</v>
      </c>
      <c r="J95" s="280">
        <v>1</v>
      </c>
      <c r="K95" s="280"/>
      <c r="L95" s="280" t="s">
        <v>516</v>
      </c>
      <c r="M95" s="280" t="s">
        <v>538</v>
      </c>
      <c r="N95" s="280" t="s">
        <v>741</v>
      </c>
      <c r="O95" s="280"/>
      <c r="P95" s="280" t="s">
        <v>889</v>
      </c>
      <c r="Q95" s="280" t="s">
        <v>890</v>
      </c>
      <c r="R95" s="280"/>
      <c r="S95" s="280" t="s">
        <v>891</v>
      </c>
      <c r="T95" s="280" t="s">
        <v>892</v>
      </c>
      <c r="U95" s="280" t="s">
        <v>30</v>
      </c>
      <c r="V95" s="280" t="s">
        <v>538</v>
      </c>
      <c r="W95" s="280" t="s">
        <v>564</v>
      </c>
      <c r="X95" s="280">
        <f t="shared" si="3"/>
        <v>5</v>
      </c>
    </row>
    <row r="96" spans="1:24" ht="126" customHeight="1" x14ac:dyDescent="0.2">
      <c r="A96" s="285" t="s">
        <v>72</v>
      </c>
      <c r="B96" s="281" t="s">
        <v>893</v>
      </c>
      <c r="C96" s="280">
        <v>0</v>
      </c>
      <c r="D96" s="280">
        <v>1</v>
      </c>
      <c r="E96" s="280">
        <v>0</v>
      </c>
      <c r="F96" s="280">
        <v>0</v>
      </c>
      <c r="G96" s="280">
        <v>0</v>
      </c>
      <c r="H96" s="280">
        <v>0</v>
      </c>
      <c r="I96" s="280">
        <v>0</v>
      </c>
      <c r="J96" s="280">
        <v>0</v>
      </c>
      <c r="K96" s="280"/>
      <c r="L96" s="280" t="s">
        <v>604</v>
      </c>
      <c r="M96" s="280" t="s">
        <v>538</v>
      </c>
      <c r="N96" s="280"/>
      <c r="O96" s="280"/>
      <c r="P96" s="280" t="s">
        <v>894</v>
      </c>
      <c r="Q96" s="280" t="s">
        <v>895</v>
      </c>
      <c r="R96" s="280"/>
      <c r="S96" s="280" t="s">
        <v>896</v>
      </c>
      <c r="T96" s="280" t="s">
        <v>897</v>
      </c>
      <c r="U96" s="280" t="s">
        <v>30</v>
      </c>
      <c r="V96" s="280" t="s">
        <v>538</v>
      </c>
      <c r="W96" s="280" t="s">
        <v>606</v>
      </c>
      <c r="X96" s="280">
        <f t="shared" si="3"/>
        <v>20</v>
      </c>
    </row>
    <row r="97" spans="1:24" ht="168" customHeight="1" x14ac:dyDescent="0.2">
      <c r="A97" s="285" t="s">
        <v>74</v>
      </c>
      <c r="B97" s="281" t="s">
        <v>898</v>
      </c>
      <c r="C97" s="280">
        <v>0</v>
      </c>
      <c r="D97" s="280">
        <v>1</v>
      </c>
      <c r="E97" s="280">
        <v>0</v>
      </c>
      <c r="F97" s="280">
        <v>0</v>
      </c>
      <c r="G97" s="280">
        <v>0</v>
      </c>
      <c r="H97" s="280">
        <v>0</v>
      </c>
      <c r="I97" s="280">
        <v>0</v>
      </c>
      <c r="J97" s="280">
        <v>0</v>
      </c>
      <c r="K97" s="280"/>
      <c r="L97" s="280" t="s">
        <v>604</v>
      </c>
      <c r="M97" s="280" t="s">
        <v>538</v>
      </c>
      <c r="N97" s="280"/>
      <c r="O97" s="280" t="s">
        <v>899</v>
      </c>
      <c r="P97" s="280" t="s">
        <v>900</v>
      </c>
      <c r="Q97" s="280" t="s">
        <v>901</v>
      </c>
      <c r="R97" s="284" t="s">
        <v>704</v>
      </c>
      <c r="S97" s="280" t="s">
        <v>902</v>
      </c>
      <c r="T97" s="280" t="s">
        <v>903</v>
      </c>
      <c r="U97" s="280" t="s">
        <v>30</v>
      </c>
      <c r="V97" s="280" t="s">
        <v>538</v>
      </c>
      <c r="W97" s="280" t="s">
        <v>606</v>
      </c>
      <c r="X97" s="280">
        <f t="shared" si="3"/>
        <v>20</v>
      </c>
    </row>
    <row r="98" spans="1:24" ht="210" customHeight="1" x14ac:dyDescent="0.2">
      <c r="A98" s="285" t="s">
        <v>77</v>
      </c>
      <c r="B98" s="281" t="s">
        <v>904</v>
      </c>
      <c r="C98" s="280">
        <v>0</v>
      </c>
      <c r="D98" s="280">
        <v>1</v>
      </c>
      <c r="E98" s="280">
        <v>0</v>
      </c>
      <c r="F98" s="280">
        <v>0</v>
      </c>
      <c r="G98" s="280">
        <v>0</v>
      </c>
      <c r="H98" s="280">
        <v>0</v>
      </c>
      <c r="I98" s="280">
        <v>0</v>
      </c>
      <c r="J98" s="280">
        <v>0</v>
      </c>
      <c r="K98" s="280"/>
      <c r="L98" s="280" t="s">
        <v>604</v>
      </c>
      <c r="M98" s="280" t="s">
        <v>538</v>
      </c>
      <c r="N98" s="280"/>
      <c r="O98" s="280"/>
      <c r="P98" s="280" t="s">
        <v>905</v>
      </c>
      <c r="Q98" s="280" t="s">
        <v>906</v>
      </c>
      <c r="R98" s="284" t="s">
        <v>704</v>
      </c>
      <c r="S98" s="280" t="s">
        <v>907</v>
      </c>
      <c r="T98" s="280" t="s">
        <v>908</v>
      </c>
      <c r="U98" s="280" t="s">
        <v>30</v>
      </c>
      <c r="V98" s="280" t="s">
        <v>538</v>
      </c>
      <c r="W98" s="280" t="s">
        <v>606</v>
      </c>
      <c r="X98" s="280">
        <f t="shared" si="3"/>
        <v>20</v>
      </c>
    </row>
    <row r="99" spans="1:24" ht="139.5" customHeight="1" x14ac:dyDescent="0.2">
      <c r="A99" s="283" t="s">
        <v>79</v>
      </c>
      <c r="B99" s="280" t="s">
        <v>909</v>
      </c>
      <c r="C99" s="280">
        <v>0</v>
      </c>
      <c r="D99" s="280">
        <v>1</v>
      </c>
      <c r="E99" s="280">
        <v>0</v>
      </c>
      <c r="F99" s="280">
        <v>0</v>
      </c>
      <c r="G99" s="280">
        <v>0</v>
      </c>
      <c r="H99" s="280">
        <v>0</v>
      </c>
      <c r="I99" s="280">
        <v>0</v>
      </c>
      <c r="J99" s="280">
        <v>1</v>
      </c>
      <c r="K99" s="280"/>
      <c r="L99" s="280" t="s">
        <v>604</v>
      </c>
      <c r="M99" s="280" t="s">
        <v>22</v>
      </c>
      <c r="N99" s="280"/>
      <c r="O99" s="280"/>
      <c r="P99" s="280" t="s">
        <v>629</v>
      </c>
      <c r="Q99" s="280" t="s">
        <v>910</v>
      </c>
      <c r="R99" s="280"/>
      <c r="S99" s="280" t="s">
        <v>911</v>
      </c>
      <c r="T99" s="280" t="s">
        <v>912</v>
      </c>
      <c r="U99" s="280" t="s">
        <v>30</v>
      </c>
      <c r="V99" s="280" t="s">
        <v>538</v>
      </c>
      <c r="W99" s="280" t="s">
        <v>555</v>
      </c>
      <c r="X99" s="280">
        <f t="shared" si="3"/>
        <v>10</v>
      </c>
    </row>
    <row r="100" spans="1:24" ht="232.5" customHeight="1" x14ac:dyDescent="0.2">
      <c r="A100" s="283" t="s">
        <v>81</v>
      </c>
      <c r="B100" s="280" t="s">
        <v>913</v>
      </c>
      <c r="C100" s="280">
        <v>0</v>
      </c>
      <c r="D100" s="280">
        <v>1</v>
      </c>
      <c r="E100" s="280">
        <v>0</v>
      </c>
      <c r="F100" s="280">
        <v>0</v>
      </c>
      <c r="G100" s="280">
        <v>0</v>
      </c>
      <c r="H100" s="280">
        <v>0</v>
      </c>
      <c r="I100" s="280">
        <v>0</v>
      </c>
      <c r="J100" s="280">
        <v>1</v>
      </c>
      <c r="K100" s="280"/>
      <c r="L100" s="280" t="s">
        <v>604</v>
      </c>
      <c r="M100" s="280" t="s">
        <v>538</v>
      </c>
      <c r="N100" s="280"/>
      <c r="O100" s="280"/>
      <c r="P100" s="280" t="s">
        <v>914</v>
      </c>
      <c r="Q100" s="280" t="s">
        <v>915</v>
      </c>
      <c r="R100" s="280"/>
      <c r="S100" s="280" t="s">
        <v>916</v>
      </c>
      <c r="T100" s="280" t="s">
        <v>917</v>
      </c>
      <c r="U100" s="280" t="s">
        <v>30</v>
      </c>
      <c r="V100" s="280" t="s">
        <v>538</v>
      </c>
      <c r="W100" s="280" t="s">
        <v>555</v>
      </c>
      <c r="X100" s="280">
        <f t="shared" si="3"/>
        <v>10</v>
      </c>
    </row>
    <row r="101" spans="1:24" ht="139.5" customHeight="1" x14ac:dyDescent="0.2">
      <c r="A101" s="283" t="s">
        <v>83</v>
      </c>
      <c r="B101" s="280" t="s">
        <v>918</v>
      </c>
      <c r="C101" s="280">
        <v>0</v>
      </c>
      <c r="D101" s="280">
        <v>1</v>
      </c>
      <c r="E101" s="280">
        <v>0</v>
      </c>
      <c r="F101" s="280">
        <v>0</v>
      </c>
      <c r="G101" s="280">
        <v>0</v>
      </c>
      <c r="H101" s="280">
        <v>0</v>
      </c>
      <c r="I101" s="280">
        <v>0</v>
      </c>
      <c r="J101" s="280">
        <v>0</v>
      </c>
      <c r="K101" s="280"/>
      <c r="L101" s="280" t="s">
        <v>604</v>
      </c>
      <c r="M101" s="280" t="s">
        <v>538</v>
      </c>
      <c r="N101" s="280"/>
      <c r="O101" s="280"/>
      <c r="P101" s="280" t="s">
        <v>919</v>
      </c>
      <c r="Q101" s="280" t="s">
        <v>920</v>
      </c>
      <c r="R101" s="280"/>
      <c r="S101" s="280" t="s">
        <v>921</v>
      </c>
      <c r="T101" s="280" t="s">
        <v>922</v>
      </c>
      <c r="U101" s="280" t="s">
        <v>30</v>
      </c>
      <c r="V101" s="280" t="s">
        <v>538</v>
      </c>
      <c r="W101" s="280" t="s">
        <v>555</v>
      </c>
      <c r="X101" s="280">
        <f t="shared" si="3"/>
        <v>10</v>
      </c>
    </row>
    <row r="102" spans="1:24" ht="97.5" customHeight="1" x14ac:dyDescent="0.2">
      <c r="A102" s="283" t="s">
        <v>85</v>
      </c>
      <c r="B102" s="280" t="s">
        <v>923</v>
      </c>
      <c r="C102" s="280">
        <v>0</v>
      </c>
      <c r="D102" s="280">
        <v>1</v>
      </c>
      <c r="E102" s="280">
        <v>0</v>
      </c>
      <c r="F102" s="280">
        <v>0</v>
      </c>
      <c r="G102" s="280">
        <v>0</v>
      </c>
      <c r="H102" s="280">
        <v>0</v>
      </c>
      <c r="I102" s="280">
        <v>0</v>
      </c>
      <c r="J102" s="280">
        <v>0</v>
      </c>
      <c r="K102" s="280"/>
      <c r="L102" s="280" t="s">
        <v>604</v>
      </c>
      <c r="M102" s="280" t="s">
        <v>538</v>
      </c>
      <c r="N102" s="280"/>
      <c r="O102" s="280"/>
      <c r="P102" s="280" t="s">
        <v>924</v>
      </c>
      <c r="Q102" s="280" t="s">
        <v>925</v>
      </c>
      <c r="R102" s="280"/>
      <c r="S102" s="280" t="s">
        <v>926</v>
      </c>
      <c r="T102" s="280" t="s">
        <v>927</v>
      </c>
      <c r="U102" s="280" t="s">
        <v>30</v>
      </c>
      <c r="V102" s="280" t="s">
        <v>538</v>
      </c>
      <c r="W102" s="280" t="s">
        <v>555</v>
      </c>
      <c r="X102" s="280">
        <f t="shared" si="3"/>
        <v>10</v>
      </c>
    </row>
    <row r="103" spans="1:24" ht="214.5" customHeight="1" x14ac:dyDescent="0.2">
      <c r="A103" s="283" t="s">
        <v>87</v>
      </c>
      <c r="B103" s="280" t="s">
        <v>928</v>
      </c>
      <c r="C103" s="280">
        <v>0</v>
      </c>
      <c r="D103" s="280">
        <v>1</v>
      </c>
      <c r="E103" s="280">
        <v>0</v>
      </c>
      <c r="F103" s="280">
        <v>0</v>
      </c>
      <c r="G103" s="280">
        <v>0</v>
      </c>
      <c r="H103" s="280">
        <v>0</v>
      </c>
      <c r="I103" s="280">
        <v>0</v>
      </c>
      <c r="J103" s="280">
        <v>0</v>
      </c>
      <c r="K103" s="280"/>
      <c r="L103" s="280" t="s">
        <v>604</v>
      </c>
      <c r="M103" s="280" t="s">
        <v>538</v>
      </c>
      <c r="N103" s="280"/>
      <c r="O103" s="280"/>
      <c r="P103" s="280" t="s">
        <v>929</v>
      </c>
      <c r="Q103" s="280" t="s">
        <v>930</v>
      </c>
      <c r="R103" s="280"/>
      <c r="S103" s="280" t="s">
        <v>931</v>
      </c>
      <c r="T103" s="280" t="s">
        <v>932</v>
      </c>
      <c r="U103" s="280" t="s">
        <v>30</v>
      </c>
      <c r="V103" s="280" t="s">
        <v>538</v>
      </c>
      <c r="W103" s="280" t="s">
        <v>555</v>
      </c>
      <c r="X103" s="280">
        <f t="shared" si="3"/>
        <v>10</v>
      </c>
    </row>
    <row r="104" spans="1:24" ht="244.5" customHeight="1" x14ac:dyDescent="0.2">
      <c r="A104" s="283" t="s">
        <v>89</v>
      </c>
      <c r="B104" s="280" t="s">
        <v>933</v>
      </c>
      <c r="C104" s="280">
        <v>0</v>
      </c>
      <c r="D104" s="280">
        <v>1</v>
      </c>
      <c r="E104" s="280">
        <v>0</v>
      </c>
      <c r="F104" s="280">
        <v>0</v>
      </c>
      <c r="G104" s="280">
        <v>0</v>
      </c>
      <c r="H104" s="280">
        <v>0</v>
      </c>
      <c r="I104" s="280">
        <v>0</v>
      </c>
      <c r="J104" s="280">
        <v>0</v>
      </c>
      <c r="K104" s="280"/>
      <c r="L104" s="280" t="s">
        <v>604</v>
      </c>
      <c r="M104" s="280" t="s">
        <v>538</v>
      </c>
      <c r="N104" s="280"/>
      <c r="O104" s="280"/>
      <c r="P104" s="280" t="s">
        <v>934</v>
      </c>
      <c r="Q104" s="280" t="s">
        <v>935</v>
      </c>
      <c r="R104" s="284" t="s">
        <v>704</v>
      </c>
      <c r="S104" s="280" t="s">
        <v>936</v>
      </c>
      <c r="T104" s="280" t="s">
        <v>937</v>
      </c>
      <c r="U104" s="280" t="s">
        <v>30</v>
      </c>
      <c r="V104" s="280" t="s">
        <v>538</v>
      </c>
      <c r="W104" s="280" t="s">
        <v>564</v>
      </c>
      <c r="X104" s="280">
        <f t="shared" si="3"/>
        <v>5</v>
      </c>
    </row>
    <row r="105" spans="1:24" ht="111.75" customHeight="1" x14ac:dyDescent="0.2">
      <c r="A105" s="283" t="s">
        <v>91</v>
      </c>
      <c r="B105" s="280" t="s">
        <v>938</v>
      </c>
      <c r="C105" s="280">
        <v>0</v>
      </c>
      <c r="D105" s="280">
        <v>1</v>
      </c>
      <c r="E105" s="280">
        <v>0</v>
      </c>
      <c r="F105" s="280">
        <v>0</v>
      </c>
      <c r="G105" s="280">
        <v>0</v>
      </c>
      <c r="H105" s="280">
        <v>0</v>
      </c>
      <c r="I105" s="280">
        <v>0</v>
      </c>
      <c r="J105" s="280">
        <v>0</v>
      </c>
      <c r="K105" s="280"/>
      <c r="L105" s="280" t="s">
        <v>604</v>
      </c>
      <c r="M105" s="280" t="s">
        <v>538</v>
      </c>
      <c r="N105" s="280"/>
      <c r="O105" s="280" t="s">
        <v>939</v>
      </c>
      <c r="P105" s="280" t="s">
        <v>940</v>
      </c>
      <c r="Q105" s="280" t="s">
        <v>941</v>
      </c>
      <c r="R105" s="284" t="s">
        <v>704</v>
      </c>
      <c r="S105" s="280" t="s">
        <v>942</v>
      </c>
      <c r="T105" s="280" t="s">
        <v>943</v>
      </c>
      <c r="U105" s="280" t="s">
        <v>30</v>
      </c>
      <c r="V105" s="280" t="s">
        <v>538</v>
      </c>
      <c r="W105" s="280" t="s">
        <v>564</v>
      </c>
      <c r="X105" s="280">
        <f t="shared" si="3"/>
        <v>5</v>
      </c>
    </row>
    <row r="106" spans="1:24" ht="111.75" customHeight="1" x14ac:dyDescent="0.2">
      <c r="A106" s="283" t="s">
        <v>92</v>
      </c>
      <c r="B106" s="280" t="s">
        <v>944</v>
      </c>
      <c r="C106" s="280">
        <v>0</v>
      </c>
      <c r="D106" s="280">
        <v>1</v>
      </c>
      <c r="E106" s="280">
        <v>0</v>
      </c>
      <c r="F106" s="280">
        <v>0</v>
      </c>
      <c r="G106" s="280">
        <v>0</v>
      </c>
      <c r="H106" s="280">
        <v>0</v>
      </c>
      <c r="I106" s="280">
        <v>0</v>
      </c>
      <c r="J106" s="280">
        <v>0</v>
      </c>
      <c r="K106" s="280"/>
      <c r="L106" s="280" t="s">
        <v>604</v>
      </c>
      <c r="M106" s="280" t="s">
        <v>538</v>
      </c>
      <c r="N106" s="280"/>
      <c r="O106" s="280"/>
      <c r="P106" s="280" t="s">
        <v>945</v>
      </c>
      <c r="Q106" s="280" t="s">
        <v>946</v>
      </c>
      <c r="R106" s="284" t="s">
        <v>704</v>
      </c>
      <c r="S106" s="280" t="s">
        <v>947</v>
      </c>
      <c r="T106" s="280" t="s">
        <v>948</v>
      </c>
      <c r="U106" s="280" t="s">
        <v>30</v>
      </c>
      <c r="V106" s="280" t="s">
        <v>538</v>
      </c>
      <c r="W106" s="280" t="s">
        <v>564</v>
      </c>
      <c r="X106" s="280">
        <f t="shared" si="3"/>
        <v>5</v>
      </c>
    </row>
    <row r="107" spans="1:24" ht="84" customHeight="1" x14ac:dyDescent="0.2">
      <c r="A107" s="283" t="s">
        <v>94</v>
      </c>
      <c r="B107" s="280" t="s">
        <v>949</v>
      </c>
      <c r="C107" s="280">
        <v>0</v>
      </c>
      <c r="D107" s="280">
        <v>1</v>
      </c>
      <c r="E107" s="280">
        <v>0</v>
      </c>
      <c r="F107" s="280">
        <v>0</v>
      </c>
      <c r="G107" s="280">
        <v>0</v>
      </c>
      <c r="H107" s="280">
        <v>0</v>
      </c>
      <c r="I107" s="280">
        <v>0</v>
      </c>
      <c r="J107" s="280">
        <v>0</v>
      </c>
      <c r="K107" s="280"/>
      <c r="L107" s="280" t="s">
        <v>604</v>
      </c>
      <c r="M107" s="280" t="s">
        <v>538</v>
      </c>
      <c r="N107" s="280"/>
      <c r="O107" s="280"/>
      <c r="P107" s="280" t="s">
        <v>950</v>
      </c>
      <c r="Q107" s="280" t="s">
        <v>951</v>
      </c>
      <c r="R107" s="282" t="s">
        <v>704</v>
      </c>
      <c r="S107" s="280" t="s">
        <v>952</v>
      </c>
      <c r="T107" s="280" t="s">
        <v>953</v>
      </c>
      <c r="U107" s="280" t="s">
        <v>30</v>
      </c>
      <c r="V107" s="280" t="s">
        <v>538</v>
      </c>
      <c r="W107" s="280" t="s">
        <v>564</v>
      </c>
      <c r="X107" s="280">
        <f t="shared" si="3"/>
        <v>5</v>
      </c>
    </row>
    <row r="108" spans="1:24" ht="276.75" customHeight="1" x14ac:dyDescent="0.2">
      <c r="A108" s="283" t="s">
        <v>95</v>
      </c>
      <c r="B108" s="280" t="s">
        <v>954</v>
      </c>
      <c r="C108" s="280">
        <v>0</v>
      </c>
      <c r="D108" s="280">
        <v>1</v>
      </c>
      <c r="E108" s="280">
        <v>0</v>
      </c>
      <c r="F108" s="280">
        <v>0</v>
      </c>
      <c r="G108" s="280">
        <v>0</v>
      </c>
      <c r="H108" s="280">
        <v>0</v>
      </c>
      <c r="I108" s="280">
        <v>0</v>
      </c>
      <c r="J108" s="280">
        <v>0</v>
      </c>
      <c r="K108" s="280"/>
      <c r="L108" s="280" t="s">
        <v>604</v>
      </c>
      <c r="M108" s="280" t="s">
        <v>538</v>
      </c>
      <c r="N108" s="280"/>
      <c r="O108" s="280"/>
      <c r="P108" s="280" t="s">
        <v>955</v>
      </c>
      <c r="Q108" s="280"/>
      <c r="R108" s="280"/>
      <c r="S108" s="280" t="s">
        <v>956</v>
      </c>
      <c r="T108" s="280" t="s">
        <v>957</v>
      </c>
      <c r="U108" s="280" t="s">
        <v>30</v>
      </c>
      <c r="V108" s="280" t="s">
        <v>538</v>
      </c>
      <c r="W108" s="280" t="s">
        <v>564</v>
      </c>
      <c r="X108" s="280">
        <f t="shared" si="3"/>
        <v>5</v>
      </c>
    </row>
    <row r="109" spans="1:24" ht="174" customHeight="1" x14ac:dyDescent="0.2">
      <c r="A109" s="283" t="s">
        <v>97</v>
      </c>
      <c r="B109" s="280" t="s">
        <v>958</v>
      </c>
      <c r="C109" s="280">
        <v>0</v>
      </c>
      <c r="D109" s="280">
        <v>1</v>
      </c>
      <c r="E109" s="280">
        <v>0</v>
      </c>
      <c r="F109" s="280">
        <v>0</v>
      </c>
      <c r="G109" s="280">
        <v>0</v>
      </c>
      <c r="H109" s="280">
        <v>0</v>
      </c>
      <c r="I109" s="280">
        <v>0</v>
      </c>
      <c r="J109" s="280">
        <v>0</v>
      </c>
      <c r="K109" s="280"/>
      <c r="L109" s="280" t="s">
        <v>604</v>
      </c>
      <c r="M109" s="280" t="s">
        <v>538</v>
      </c>
      <c r="N109" s="280"/>
      <c r="O109" s="280"/>
      <c r="P109" s="280" t="s">
        <v>959</v>
      </c>
      <c r="Q109" s="280" t="s">
        <v>960</v>
      </c>
      <c r="R109" s="280"/>
      <c r="S109" s="280" t="s">
        <v>961</v>
      </c>
      <c r="T109" s="280" t="s">
        <v>917</v>
      </c>
      <c r="U109" s="280" t="s">
        <v>30</v>
      </c>
      <c r="V109" s="280" t="s">
        <v>538</v>
      </c>
      <c r="W109" s="280" t="s">
        <v>564</v>
      </c>
      <c r="X109" s="280">
        <f t="shared" si="3"/>
        <v>5</v>
      </c>
    </row>
    <row r="110" spans="1:24" ht="139.5" customHeight="1" x14ac:dyDescent="0.2">
      <c r="A110" s="283" t="s">
        <v>99</v>
      </c>
      <c r="B110" s="280" t="s">
        <v>962</v>
      </c>
      <c r="C110" s="280">
        <v>0</v>
      </c>
      <c r="D110" s="280">
        <v>1</v>
      </c>
      <c r="E110" s="280">
        <v>0</v>
      </c>
      <c r="F110" s="280">
        <v>0</v>
      </c>
      <c r="G110" s="280">
        <v>0</v>
      </c>
      <c r="H110" s="280">
        <v>0</v>
      </c>
      <c r="I110" s="280">
        <v>0</v>
      </c>
      <c r="J110" s="280">
        <v>0</v>
      </c>
      <c r="K110" s="280"/>
      <c r="L110" s="280" t="s">
        <v>604</v>
      </c>
      <c r="M110" s="280" t="s">
        <v>538</v>
      </c>
      <c r="N110" s="280"/>
      <c r="O110" s="280"/>
      <c r="P110" s="280" t="s">
        <v>963</v>
      </c>
      <c r="Q110" s="280" t="s">
        <v>964</v>
      </c>
      <c r="R110" s="280"/>
      <c r="S110" s="280" t="s">
        <v>965</v>
      </c>
      <c r="T110" s="280" t="s">
        <v>966</v>
      </c>
      <c r="U110" s="280" t="s">
        <v>30</v>
      </c>
      <c r="V110" s="280" t="s">
        <v>538</v>
      </c>
      <c r="W110" s="280" t="s">
        <v>564</v>
      </c>
      <c r="X110" s="280">
        <f t="shared" si="3"/>
        <v>5</v>
      </c>
    </row>
    <row r="111" spans="1:24" ht="210" customHeight="1" x14ac:dyDescent="0.2">
      <c r="A111" s="283" t="s">
        <v>100</v>
      </c>
      <c r="B111" s="280" t="s">
        <v>967</v>
      </c>
      <c r="C111" s="280">
        <v>0</v>
      </c>
      <c r="D111" s="280">
        <v>1</v>
      </c>
      <c r="E111" s="280">
        <v>0</v>
      </c>
      <c r="F111" s="280">
        <v>0</v>
      </c>
      <c r="G111" s="280">
        <v>0</v>
      </c>
      <c r="H111" s="280">
        <v>0</v>
      </c>
      <c r="I111" s="280">
        <v>0</v>
      </c>
      <c r="J111" s="280">
        <v>0</v>
      </c>
      <c r="K111" s="280"/>
      <c r="L111" s="280" t="s">
        <v>604</v>
      </c>
      <c r="M111" s="280" t="s">
        <v>538</v>
      </c>
      <c r="N111" s="280"/>
      <c r="O111" s="280"/>
      <c r="P111" s="280" t="s">
        <v>968</v>
      </c>
      <c r="Q111" s="280" t="s">
        <v>969</v>
      </c>
      <c r="R111" s="280"/>
      <c r="S111" s="280" t="s">
        <v>705</v>
      </c>
      <c r="T111" s="280" t="s">
        <v>706</v>
      </c>
      <c r="U111" s="280" t="s">
        <v>30</v>
      </c>
      <c r="V111" s="280" t="s">
        <v>538</v>
      </c>
      <c r="W111" s="280" t="s">
        <v>564</v>
      </c>
      <c r="X111" s="280">
        <f t="shared" si="3"/>
        <v>5</v>
      </c>
    </row>
    <row r="112" spans="1:24" ht="126" customHeight="1" x14ac:dyDescent="0.2">
      <c r="A112" s="281" t="s">
        <v>142</v>
      </c>
      <c r="B112" s="281" t="s">
        <v>970</v>
      </c>
      <c r="C112" s="280">
        <v>0</v>
      </c>
      <c r="D112" s="280">
        <v>0</v>
      </c>
      <c r="E112" s="280">
        <v>1</v>
      </c>
      <c r="F112" s="280">
        <v>0</v>
      </c>
      <c r="G112" s="280">
        <v>0</v>
      </c>
      <c r="H112" s="280">
        <v>0</v>
      </c>
      <c r="I112" s="280">
        <v>0</v>
      </c>
      <c r="J112" s="280">
        <v>0</v>
      </c>
      <c r="K112" s="280"/>
      <c r="L112" s="280" t="s">
        <v>516</v>
      </c>
      <c r="M112" s="280" t="s">
        <v>538</v>
      </c>
      <c r="N112" s="280" t="s">
        <v>741</v>
      </c>
      <c r="O112" s="280"/>
      <c r="P112" s="280"/>
      <c r="Q112" s="280" t="s">
        <v>971</v>
      </c>
      <c r="R112" s="280"/>
      <c r="S112" s="280" t="s">
        <v>972</v>
      </c>
      <c r="T112" s="280" t="s">
        <v>973</v>
      </c>
      <c r="U112" s="280" t="s">
        <v>26</v>
      </c>
      <c r="V112" s="280" t="s">
        <v>538</v>
      </c>
      <c r="W112" s="280" t="s">
        <v>606</v>
      </c>
      <c r="X112" s="280">
        <f t="shared" si="3"/>
        <v>20</v>
      </c>
    </row>
    <row r="113" spans="1:24" ht="97.5" customHeight="1" x14ac:dyDescent="0.2">
      <c r="A113" s="281" t="s">
        <v>143</v>
      </c>
      <c r="B113" s="281" t="s">
        <v>974</v>
      </c>
      <c r="C113" s="280">
        <v>0</v>
      </c>
      <c r="D113" s="280">
        <v>0</v>
      </c>
      <c r="E113" s="280">
        <v>1</v>
      </c>
      <c r="F113" s="280">
        <v>0</v>
      </c>
      <c r="G113" s="280">
        <v>0</v>
      </c>
      <c r="H113" s="280">
        <v>0</v>
      </c>
      <c r="I113" s="280">
        <v>0</v>
      </c>
      <c r="J113" s="280">
        <v>1</v>
      </c>
      <c r="K113" s="280"/>
      <c r="L113" s="280" t="s">
        <v>516</v>
      </c>
      <c r="M113" s="280" t="s">
        <v>538</v>
      </c>
      <c r="N113" s="280" t="s">
        <v>741</v>
      </c>
      <c r="O113" s="280"/>
      <c r="P113" s="280" t="s">
        <v>975</v>
      </c>
      <c r="Q113" s="280" t="s">
        <v>976</v>
      </c>
      <c r="R113" s="280"/>
      <c r="S113" s="280" t="s">
        <v>977</v>
      </c>
      <c r="T113" s="280" t="s">
        <v>978</v>
      </c>
      <c r="U113" s="280" t="s">
        <v>30</v>
      </c>
      <c r="V113" s="280" t="s">
        <v>538</v>
      </c>
      <c r="W113" s="280" t="s">
        <v>606</v>
      </c>
      <c r="X113" s="280">
        <f t="shared" si="3"/>
        <v>20</v>
      </c>
    </row>
    <row r="114" spans="1:24" ht="111.75" customHeight="1" x14ac:dyDescent="0.2">
      <c r="A114" s="281" t="s">
        <v>144</v>
      </c>
      <c r="B114" s="281" t="s">
        <v>979</v>
      </c>
      <c r="C114" s="280">
        <v>0</v>
      </c>
      <c r="D114" s="280">
        <v>0</v>
      </c>
      <c r="E114" s="280">
        <v>1</v>
      </c>
      <c r="F114" s="280">
        <v>0</v>
      </c>
      <c r="G114" s="280">
        <v>0</v>
      </c>
      <c r="H114" s="280">
        <v>0</v>
      </c>
      <c r="I114" s="280">
        <v>0</v>
      </c>
      <c r="J114" s="280">
        <v>1</v>
      </c>
      <c r="K114" s="280"/>
      <c r="L114" s="280" t="s">
        <v>516</v>
      </c>
      <c r="M114" s="280" t="s">
        <v>538</v>
      </c>
      <c r="N114" s="280" t="s">
        <v>741</v>
      </c>
      <c r="O114" s="280"/>
      <c r="P114" s="280" t="s">
        <v>980</v>
      </c>
      <c r="Q114" s="280" t="s">
        <v>981</v>
      </c>
      <c r="R114" s="280"/>
      <c r="S114" s="280" t="s">
        <v>982</v>
      </c>
      <c r="T114" s="280" t="s">
        <v>983</v>
      </c>
      <c r="U114" s="280" t="s">
        <v>30</v>
      </c>
      <c r="V114" s="280" t="s">
        <v>538</v>
      </c>
      <c r="W114" s="280" t="s">
        <v>606</v>
      </c>
      <c r="X114" s="280">
        <f t="shared" si="3"/>
        <v>20</v>
      </c>
    </row>
    <row r="115" spans="1:24" ht="168" customHeight="1" x14ac:dyDescent="0.2">
      <c r="A115" s="281" t="s">
        <v>145</v>
      </c>
      <c r="B115" s="281" t="s">
        <v>984</v>
      </c>
      <c r="C115" s="280">
        <v>0</v>
      </c>
      <c r="D115" s="280">
        <v>0</v>
      </c>
      <c r="E115" s="280">
        <v>1</v>
      </c>
      <c r="F115" s="280">
        <v>0</v>
      </c>
      <c r="G115" s="280">
        <v>0</v>
      </c>
      <c r="H115" s="280">
        <v>0</v>
      </c>
      <c r="I115" s="280">
        <v>0</v>
      </c>
      <c r="J115" s="280">
        <v>0</v>
      </c>
      <c r="K115" s="280"/>
      <c r="L115" s="280" t="s">
        <v>516</v>
      </c>
      <c r="M115" s="280" t="s">
        <v>538</v>
      </c>
      <c r="N115" s="280" t="s">
        <v>741</v>
      </c>
      <c r="O115" s="280"/>
      <c r="P115" s="280" t="s">
        <v>985</v>
      </c>
      <c r="Q115" s="280" t="s">
        <v>986</v>
      </c>
      <c r="R115" s="280"/>
      <c r="S115" s="280" t="s">
        <v>987</v>
      </c>
      <c r="T115" s="280" t="s">
        <v>988</v>
      </c>
      <c r="U115" s="280" t="s">
        <v>30</v>
      </c>
      <c r="V115" s="280" t="s">
        <v>538</v>
      </c>
      <c r="W115" s="280" t="s">
        <v>606</v>
      </c>
      <c r="X115" s="280">
        <f t="shared" si="3"/>
        <v>20</v>
      </c>
    </row>
    <row r="116" spans="1:24" ht="139.5" customHeight="1" x14ac:dyDescent="0.2">
      <c r="A116" s="281" t="s">
        <v>146</v>
      </c>
      <c r="B116" s="281" t="s">
        <v>989</v>
      </c>
      <c r="C116" s="280">
        <v>0</v>
      </c>
      <c r="D116" s="280">
        <v>0</v>
      </c>
      <c r="E116" s="280">
        <v>1</v>
      </c>
      <c r="F116" s="280">
        <v>0</v>
      </c>
      <c r="G116" s="280">
        <v>0</v>
      </c>
      <c r="H116" s="280">
        <v>0</v>
      </c>
      <c r="I116" s="280">
        <v>0</v>
      </c>
      <c r="J116" s="280">
        <v>1</v>
      </c>
      <c r="K116" s="280"/>
      <c r="L116" s="280" t="s">
        <v>516</v>
      </c>
      <c r="M116" s="280" t="s">
        <v>538</v>
      </c>
      <c r="N116" s="280" t="s">
        <v>741</v>
      </c>
      <c r="O116" s="280"/>
      <c r="P116" s="280" t="s">
        <v>990</v>
      </c>
      <c r="Q116" s="280" t="s">
        <v>991</v>
      </c>
      <c r="R116" s="280"/>
      <c r="S116" s="280" t="s">
        <v>992</v>
      </c>
      <c r="T116" s="280" t="s">
        <v>993</v>
      </c>
      <c r="U116" s="280" t="s">
        <v>30</v>
      </c>
      <c r="V116" s="280" t="s">
        <v>538</v>
      </c>
      <c r="W116" s="280" t="s">
        <v>606</v>
      </c>
      <c r="X116" s="280">
        <f t="shared" si="3"/>
        <v>20</v>
      </c>
    </row>
    <row r="117" spans="1:24" ht="126" customHeight="1" x14ac:dyDescent="0.2">
      <c r="A117" s="281" t="s">
        <v>147</v>
      </c>
      <c r="B117" s="281" t="s">
        <v>994</v>
      </c>
      <c r="C117" s="280">
        <v>0</v>
      </c>
      <c r="D117" s="280">
        <v>0</v>
      </c>
      <c r="E117" s="280">
        <v>1</v>
      </c>
      <c r="F117" s="280">
        <v>0</v>
      </c>
      <c r="G117" s="280">
        <v>0</v>
      </c>
      <c r="H117" s="280">
        <v>0</v>
      </c>
      <c r="I117" s="280">
        <v>0</v>
      </c>
      <c r="J117" s="280">
        <v>1</v>
      </c>
      <c r="K117" s="280"/>
      <c r="L117" s="280" t="s">
        <v>516</v>
      </c>
      <c r="M117" s="280" t="s">
        <v>538</v>
      </c>
      <c r="N117" s="280" t="s">
        <v>741</v>
      </c>
      <c r="O117" s="280"/>
      <c r="P117" s="280" t="s">
        <v>995</v>
      </c>
      <c r="Q117" s="280" t="s">
        <v>996</v>
      </c>
      <c r="R117" s="280"/>
      <c r="S117" s="280" t="s">
        <v>997</v>
      </c>
      <c r="T117" s="280" t="s">
        <v>998</v>
      </c>
      <c r="U117" s="280" t="s">
        <v>30</v>
      </c>
      <c r="V117" s="280" t="s">
        <v>538</v>
      </c>
      <c r="W117" s="280" t="s">
        <v>606</v>
      </c>
      <c r="X117" s="280">
        <f t="shared" si="3"/>
        <v>20</v>
      </c>
    </row>
    <row r="118" spans="1:24" ht="153.75" customHeight="1" x14ac:dyDescent="0.2">
      <c r="A118" s="281" t="s">
        <v>148</v>
      </c>
      <c r="B118" s="281" t="s">
        <v>999</v>
      </c>
      <c r="C118" s="280">
        <v>0</v>
      </c>
      <c r="D118" s="280">
        <v>0</v>
      </c>
      <c r="E118" s="280">
        <v>1</v>
      </c>
      <c r="F118" s="280">
        <v>0</v>
      </c>
      <c r="G118" s="280">
        <v>0</v>
      </c>
      <c r="H118" s="280">
        <v>0</v>
      </c>
      <c r="I118" s="280">
        <v>0</v>
      </c>
      <c r="J118" s="280">
        <v>0</v>
      </c>
      <c r="K118" s="280"/>
      <c r="L118" s="280" t="s">
        <v>516</v>
      </c>
      <c r="M118" s="280" t="s">
        <v>538</v>
      </c>
      <c r="N118" s="280" t="s">
        <v>741</v>
      </c>
      <c r="O118" s="280"/>
      <c r="P118" s="280"/>
      <c r="Q118" s="280" t="s">
        <v>1000</v>
      </c>
      <c r="R118" s="280"/>
      <c r="S118" s="280" t="s">
        <v>1001</v>
      </c>
      <c r="T118" s="280" t="s">
        <v>1002</v>
      </c>
      <c r="U118" s="280" t="s">
        <v>26</v>
      </c>
      <c r="V118" s="280" t="s">
        <v>538</v>
      </c>
      <c r="W118" s="280" t="s">
        <v>606</v>
      </c>
      <c r="X118" s="280">
        <f t="shared" si="3"/>
        <v>20</v>
      </c>
    </row>
    <row r="119" spans="1:24" ht="153.75" customHeight="1" x14ac:dyDescent="0.2">
      <c r="A119" s="281" t="s">
        <v>149</v>
      </c>
      <c r="B119" s="281" t="s">
        <v>1003</v>
      </c>
      <c r="C119" s="280">
        <v>0</v>
      </c>
      <c r="D119" s="280">
        <v>0</v>
      </c>
      <c r="E119" s="280">
        <v>1</v>
      </c>
      <c r="F119" s="280">
        <v>0</v>
      </c>
      <c r="G119" s="280">
        <v>0</v>
      </c>
      <c r="H119" s="280">
        <v>0</v>
      </c>
      <c r="I119" s="280">
        <v>0</v>
      </c>
      <c r="J119" s="280">
        <v>0</v>
      </c>
      <c r="K119" s="280"/>
      <c r="L119" s="280" t="s">
        <v>516</v>
      </c>
      <c r="M119" s="280" t="s">
        <v>538</v>
      </c>
      <c r="N119" s="280" t="s">
        <v>741</v>
      </c>
      <c r="O119" s="280"/>
      <c r="P119" s="280" t="s">
        <v>1004</v>
      </c>
      <c r="Q119" s="280" t="s">
        <v>1005</v>
      </c>
      <c r="R119" s="280"/>
      <c r="S119" s="280" t="s">
        <v>1006</v>
      </c>
      <c r="T119" s="280" t="s">
        <v>1007</v>
      </c>
      <c r="U119" s="280" t="s">
        <v>30</v>
      </c>
      <c r="V119" s="280" t="s">
        <v>538</v>
      </c>
      <c r="W119" s="280" t="s">
        <v>606</v>
      </c>
      <c r="X119" s="280">
        <f t="shared" si="3"/>
        <v>20</v>
      </c>
    </row>
    <row r="120" spans="1:24" ht="126" customHeight="1" x14ac:dyDescent="0.2">
      <c r="A120" s="280" t="s">
        <v>150</v>
      </c>
      <c r="B120" s="280" t="s">
        <v>1008</v>
      </c>
      <c r="C120" s="280">
        <v>0</v>
      </c>
      <c r="D120" s="280">
        <v>0</v>
      </c>
      <c r="E120" s="280">
        <v>1</v>
      </c>
      <c r="F120" s="280">
        <v>0</v>
      </c>
      <c r="G120" s="280">
        <v>0</v>
      </c>
      <c r="H120" s="280">
        <v>0</v>
      </c>
      <c r="I120" s="280">
        <v>0</v>
      </c>
      <c r="J120" s="280">
        <v>1</v>
      </c>
      <c r="K120" s="280"/>
      <c r="L120" s="280" t="s">
        <v>516</v>
      </c>
      <c r="M120" s="280" t="s">
        <v>538</v>
      </c>
      <c r="N120" s="280" t="s">
        <v>741</v>
      </c>
      <c r="O120" s="280" t="s">
        <v>1009</v>
      </c>
      <c r="P120" s="280" t="s">
        <v>1010</v>
      </c>
      <c r="Q120" s="280" t="s">
        <v>991</v>
      </c>
      <c r="R120" s="280"/>
      <c r="S120" s="280" t="s">
        <v>1011</v>
      </c>
      <c r="T120" s="280" t="s">
        <v>993</v>
      </c>
      <c r="U120" s="280" t="s">
        <v>30</v>
      </c>
      <c r="V120" s="280" t="s">
        <v>538</v>
      </c>
      <c r="W120" s="280" t="s">
        <v>555</v>
      </c>
      <c r="X120" s="280">
        <f t="shared" si="3"/>
        <v>10</v>
      </c>
    </row>
    <row r="121" spans="1:24" ht="153.75" customHeight="1" x14ac:dyDescent="0.2">
      <c r="A121" s="280" t="s">
        <v>151</v>
      </c>
      <c r="B121" s="280" t="s">
        <v>1012</v>
      </c>
      <c r="C121" s="280">
        <v>0</v>
      </c>
      <c r="D121" s="280">
        <v>0</v>
      </c>
      <c r="E121" s="280">
        <v>1</v>
      </c>
      <c r="F121" s="280">
        <v>0</v>
      </c>
      <c r="G121" s="280">
        <v>0</v>
      </c>
      <c r="H121" s="280">
        <v>0</v>
      </c>
      <c r="I121" s="280">
        <v>0</v>
      </c>
      <c r="J121" s="280">
        <v>1</v>
      </c>
      <c r="K121" s="280"/>
      <c r="L121" s="280" t="s">
        <v>516</v>
      </c>
      <c r="M121" s="280" t="s">
        <v>538</v>
      </c>
      <c r="N121" s="280" t="s">
        <v>741</v>
      </c>
      <c r="O121" s="280"/>
      <c r="P121" s="280" t="s">
        <v>1013</v>
      </c>
      <c r="Q121" s="280" t="s">
        <v>1014</v>
      </c>
      <c r="R121" s="280"/>
      <c r="S121" s="280" t="s">
        <v>1015</v>
      </c>
      <c r="T121" s="280" t="s">
        <v>993</v>
      </c>
      <c r="U121" s="280" t="s">
        <v>30</v>
      </c>
      <c r="V121" s="280" t="s">
        <v>538</v>
      </c>
      <c r="W121" s="280" t="s">
        <v>555</v>
      </c>
      <c r="X121" s="280">
        <f t="shared" si="3"/>
        <v>10</v>
      </c>
    </row>
    <row r="122" spans="1:24" ht="111.75" customHeight="1" x14ac:dyDescent="0.2">
      <c r="A122" s="280" t="s">
        <v>152</v>
      </c>
      <c r="B122" s="280" t="s">
        <v>1016</v>
      </c>
      <c r="C122" s="280">
        <v>0</v>
      </c>
      <c r="D122" s="280">
        <v>0</v>
      </c>
      <c r="E122" s="280">
        <v>1</v>
      </c>
      <c r="F122" s="280">
        <v>0</v>
      </c>
      <c r="G122" s="280">
        <v>0</v>
      </c>
      <c r="H122" s="280">
        <v>0</v>
      </c>
      <c r="I122" s="280">
        <v>0</v>
      </c>
      <c r="J122" s="280">
        <v>1</v>
      </c>
      <c r="K122" s="280"/>
      <c r="L122" s="280" t="s">
        <v>516</v>
      </c>
      <c r="M122" s="280" t="s">
        <v>538</v>
      </c>
      <c r="N122" s="280" t="s">
        <v>741</v>
      </c>
      <c r="O122" s="280"/>
      <c r="P122" s="280" t="s">
        <v>1017</v>
      </c>
      <c r="Q122" s="280" t="s">
        <v>1018</v>
      </c>
      <c r="R122" s="282"/>
      <c r="S122" s="280" t="s">
        <v>1019</v>
      </c>
      <c r="T122" s="280" t="s">
        <v>1020</v>
      </c>
      <c r="U122" s="280" t="s">
        <v>30</v>
      </c>
      <c r="V122" s="280" t="s">
        <v>538</v>
      </c>
      <c r="W122" s="280" t="s">
        <v>555</v>
      </c>
      <c r="X122" s="280">
        <f t="shared" si="3"/>
        <v>10</v>
      </c>
    </row>
    <row r="123" spans="1:24" ht="168" customHeight="1" x14ac:dyDescent="0.2">
      <c r="A123" s="280" t="s">
        <v>153</v>
      </c>
      <c r="B123" s="280" t="s">
        <v>1021</v>
      </c>
      <c r="C123" s="280">
        <v>0</v>
      </c>
      <c r="D123" s="280">
        <v>0</v>
      </c>
      <c r="E123" s="280">
        <v>1</v>
      </c>
      <c r="F123" s="280">
        <v>0</v>
      </c>
      <c r="G123" s="280">
        <v>0</v>
      </c>
      <c r="H123" s="280">
        <v>0</v>
      </c>
      <c r="I123" s="280">
        <v>0</v>
      </c>
      <c r="J123" s="280">
        <v>1</v>
      </c>
      <c r="K123" s="280"/>
      <c r="L123" s="280" t="s">
        <v>516</v>
      </c>
      <c r="M123" s="280" t="s">
        <v>538</v>
      </c>
      <c r="N123" s="280" t="s">
        <v>741</v>
      </c>
      <c r="O123" s="280"/>
      <c r="P123" s="280" t="s">
        <v>1022</v>
      </c>
      <c r="Q123" s="280" t="s">
        <v>1023</v>
      </c>
      <c r="R123" s="280"/>
      <c r="S123" s="280" t="s">
        <v>1024</v>
      </c>
      <c r="T123" s="280" t="s">
        <v>1025</v>
      </c>
      <c r="U123" s="280" t="s">
        <v>30</v>
      </c>
      <c r="V123" s="280" t="s">
        <v>538</v>
      </c>
      <c r="W123" s="280" t="s">
        <v>555</v>
      </c>
      <c r="X123" s="280">
        <f t="shared" si="3"/>
        <v>10</v>
      </c>
    </row>
    <row r="124" spans="1:24" ht="148.5" customHeight="1" x14ac:dyDescent="0.2">
      <c r="A124" s="280" t="s">
        <v>154</v>
      </c>
      <c r="B124" s="280" t="s">
        <v>1026</v>
      </c>
      <c r="C124" s="280">
        <v>0</v>
      </c>
      <c r="D124" s="280">
        <v>0</v>
      </c>
      <c r="E124" s="280">
        <v>1</v>
      </c>
      <c r="F124" s="280">
        <v>0</v>
      </c>
      <c r="G124" s="280">
        <v>0</v>
      </c>
      <c r="H124" s="280">
        <v>0</v>
      </c>
      <c r="I124" s="280">
        <v>0</v>
      </c>
      <c r="J124" s="280">
        <v>1</v>
      </c>
      <c r="K124" s="280"/>
      <c r="L124" s="280" t="s">
        <v>516</v>
      </c>
      <c r="M124" s="280" t="s">
        <v>538</v>
      </c>
      <c r="N124" s="280" t="s">
        <v>741</v>
      </c>
      <c r="O124" s="280"/>
      <c r="P124" s="280" t="s">
        <v>1027</v>
      </c>
      <c r="Q124" s="280" t="s">
        <v>1028</v>
      </c>
      <c r="R124" s="282" t="s">
        <v>704</v>
      </c>
      <c r="S124" s="280" t="s">
        <v>1029</v>
      </c>
      <c r="T124" s="280" t="s">
        <v>1030</v>
      </c>
      <c r="U124" s="280" t="s">
        <v>30</v>
      </c>
      <c r="V124" s="280" t="s">
        <v>538</v>
      </c>
      <c r="W124" s="280" t="s">
        <v>555</v>
      </c>
      <c r="X124" s="280">
        <f t="shared" si="3"/>
        <v>10</v>
      </c>
    </row>
    <row r="125" spans="1:24" ht="147" customHeight="1" x14ac:dyDescent="0.2">
      <c r="A125" s="280" t="s">
        <v>155</v>
      </c>
      <c r="B125" s="280" t="s">
        <v>1031</v>
      </c>
      <c r="C125" s="280">
        <v>0</v>
      </c>
      <c r="D125" s="280">
        <v>0</v>
      </c>
      <c r="E125" s="280">
        <v>1</v>
      </c>
      <c r="F125" s="280">
        <v>0</v>
      </c>
      <c r="G125" s="280">
        <v>0</v>
      </c>
      <c r="H125" s="280">
        <v>0</v>
      </c>
      <c r="I125" s="280">
        <v>0</v>
      </c>
      <c r="J125" s="280">
        <v>1</v>
      </c>
      <c r="K125" s="280"/>
      <c r="L125" s="280" t="s">
        <v>516</v>
      </c>
      <c r="M125" s="280" t="s">
        <v>538</v>
      </c>
      <c r="N125" s="280" t="s">
        <v>741</v>
      </c>
      <c r="O125" s="280"/>
      <c r="P125" s="280" t="s">
        <v>1032</v>
      </c>
      <c r="Q125" s="280" t="s">
        <v>1033</v>
      </c>
      <c r="R125" s="280"/>
      <c r="S125" s="280" t="s">
        <v>1034</v>
      </c>
      <c r="T125" s="280" t="s">
        <v>1035</v>
      </c>
      <c r="U125" s="280" t="s">
        <v>30</v>
      </c>
      <c r="V125" s="280" t="s">
        <v>538</v>
      </c>
      <c r="W125" s="280" t="s">
        <v>564</v>
      </c>
      <c r="X125" s="280">
        <f t="shared" si="3"/>
        <v>5</v>
      </c>
    </row>
    <row r="126" spans="1:24" ht="153.75" customHeight="1" x14ac:dyDescent="0.2">
      <c r="A126" s="280" t="s">
        <v>156</v>
      </c>
      <c r="B126" s="280" t="s">
        <v>1036</v>
      </c>
      <c r="C126" s="280">
        <v>0</v>
      </c>
      <c r="D126" s="280">
        <v>0</v>
      </c>
      <c r="E126" s="280">
        <v>1</v>
      </c>
      <c r="F126" s="280">
        <v>0</v>
      </c>
      <c r="G126" s="280">
        <v>0</v>
      </c>
      <c r="H126" s="280">
        <v>0</v>
      </c>
      <c r="I126" s="280">
        <v>0</v>
      </c>
      <c r="J126" s="280">
        <v>0</v>
      </c>
      <c r="K126" s="280"/>
      <c r="L126" s="280" t="s">
        <v>516</v>
      </c>
      <c r="M126" s="280" t="s">
        <v>538</v>
      </c>
      <c r="N126" s="280" t="s">
        <v>741</v>
      </c>
      <c r="O126" s="280"/>
      <c r="P126" s="280" t="s">
        <v>1037</v>
      </c>
      <c r="Q126" s="280" t="s">
        <v>1038</v>
      </c>
      <c r="R126" s="280"/>
      <c r="S126" s="280" t="s">
        <v>1006</v>
      </c>
      <c r="T126" s="280" t="s">
        <v>1007</v>
      </c>
      <c r="U126" s="280" t="s">
        <v>30</v>
      </c>
      <c r="V126" s="280" t="s">
        <v>538</v>
      </c>
      <c r="W126" s="280" t="s">
        <v>555</v>
      </c>
      <c r="X126" s="280">
        <f t="shared" si="3"/>
        <v>10</v>
      </c>
    </row>
    <row r="127" spans="1:24" ht="153.75" customHeight="1" x14ac:dyDescent="0.2">
      <c r="A127" s="280" t="s">
        <v>157</v>
      </c>
      <c r="B127" s="280" t="s">
        <v>1039</v>
      </c>
      <c r="C127" s="280">
        <v>0</v>
      </c>
      <c r="D127" s="280">
        <v>0</v>
      </c>
      <c r="E127" s="280">
        <v>1</v>
      </c>
      <c r="F127" s="280">
        <v>0</v>
      </c>
      <c r="G127" s="280">
        <v>0</v>
      </c>
      <c r="H127" s="280">
        <v>0</v>
      </c>
      <c r="I127" s="280">
        <v>0</v>
      </c>
      <c r="J127" s="280">
        <v>0</v>
      </c>
      <c r="K127" s="280"/>
      <c r="L127" s="280" t="s">
        <v>516</v>
      </c>
      <c r="M127" s="280" t="s">
        <v>538</v>
      </c>
      <c r="N127" s="280" t="s">
        <v>741</v>
      </c>
      <c r="O127" s="280"/>
      <c r="P127" s="280" t="s">
        <v>1040</v>
      </c>
      <c r="Q127" s="280"/>
      <c r="R127" s="280"/>
      <c r="S127" s="280" t="s">
        <v>1006</v>
      </c>
      <c r="T127" s="280" t="s">
        <v>1041</v>
      </c>
      <c r="U127" s="280" t="s">
        <v>30</v>
      </c>
      <c r="V127" s="280" t="s">
        <v>538</v>
      </c>
      <c r="W127" s="280" t="s">
        <v>555</v>
      </c>
      <c r="X127" s="280">
        <f t="shared" si="3"/>
        <v>10</v>
      </c>
    </row>
    <row r="128" spans="1:24" ht="168" customHeight="1" x14ac:dyDescent="0.2">
      <c r="A128" s="280" t="s">
        <v>158</v>
      </c>
      <c r="B128" s="280" t="s">
        <v>1042</v>
      </c>
      <c r="C128" s="280">
        <v>0</v>
      </c>
      <c r="D128" s="280">
        <v>0</v>
      </c>
      <c r="E128" s="280">
        <v>1</v>
      </c>
      <c r="F128" s="280">
        <v>0</v>
      </c>
      <c r="G128" s="280">
        <v>0</v>
      </c>
      <c r="H128" s="280">
        <v>0</v>
      </c>
      <c r="I128" s="280">
        <v>0</v>
      </c>
      <c r="J128" s="280">
        <v>1</v>
      </c>
      <c r="K128" s="280"/>
      <c r="L128" s="280" t="s">
        <v>516</v>
      </c>
      <c r="M128" s="280" t="s">
        <v>538</v>
      </c>
      <c r="N128" s="280" t="s">
        <v>741</v>
      </c>
      <c r="O128" s="280"/>
      <c r="P128" s="280"/>
      <c r="Q128" s="280" t="s">
        <v>1043</v>
      </c>
      <c r="R128" s="280"/>
      <c r="S128" s="280" t="s">
        <v>1044</v>
      </c>
      <c r="T128" s="280" t="s">
        <v>1045</v>
      </c>
      <c r="U128" s="280" t="s">
        <v>26</v>
      </c>
      <c r="V128" s="280" t="s">
        <v>538</v>
      </c>
      <c r="W128" s="280" t="s">
        <v>555</v>
      </c>
      <c r="X128" s="280">
        <f t="shared" si="3"/>
        <v>10</v>
      </c>
    </row>
    <row r="129" spans="1:24" ht="408.75" customHeight="1" x14ac:dyDescent="0.2">
      <c r="A129" s="280" t="s">
        <v>159</v>
      </c>
      <c r="B129" s="280" t="s">
        <v>1046</v>
      </c>
      <c r="C129" s="280">
        <v>0</v>
      </c>
      <c r="D129" s="280">
        <v>0</v>
      </c>
      <c r="E129" s="280">
        <v>1</v>
      </c>
      <c r="F129" s="280">
        <v>0</v>
      </c>
      <c r="G129" s="280">
        <v>0</v>
      </c>
      <c r="H129" s="280">
        <v>0</v>
      </c>
      <c r="I129" s="280">
        <v>0</v>
      </c>
      <c r="J129" s="280">
        <v>0</v>
      </c>
      <c r="K129" s="280"/>
      <c r="L129" s="280" t="s">
        <v>516</v>
      </c>
      <c r="M129" s="280" t="s">
        <v>538</v>
      </c>
      <c r="N129" s="280" t="s">
        <v>741</v>
      </c>
      <c r="O129" s="280"/>
      <c r="P129" s="280"/>
      <c r="Q129" s="280" t="s">
        <v>1047</v>
      </c>
      <c r="R129" s="280"/>
      <c r="S129" s="280" t="s">
        <v>1048</v>
      </c>
      <c r="T129" s="280" t="s">
        <v>1049</v>
      </c>
      <c r="U129" s="280" t="s">
        <v>30</v>
      </c>
      <c r="V129" s="280" t="s">
        <v>538</v>
      </c>
      <c r="W129" s="280" t="s">
        <v>555</v>
      </c>
      <c r="X129" s="280">
        <f t="shared" si="3"/>
        <v>10</v>
      </c>
    </row>
    <row r="130" spans="1:24" ht="294" customHeight="1" x14ac:dyDescent="0.2">
      <c r="A130" s="280" t="s">
        <v>160</v>
      </c>
      <c r="B130" s="280" t="s">
        <v>1050</v>
      </c>
      <c r="C130" s="280">
        <v>0</v>
      </c>
      <c r="D130" s="280">
        <v>0</v>
      </c>
      <c r="E130" s="280">
        <v>1</v>
      </c>
      <c r="F130" s="280">
        <v>0</v>
      </c>
      <c r="G130" s="280">
        <v>0</v>
      </c>
      <c r="H130" s="280">
        <v>0</v>
      </c>
      <c r="I130" s="280">
        <v>0</v>
      </c>
      <c r="J130" s="280">
        <v>0</v>
      </c>
      <c r="K130" s="280"/>
      <c r="L130" s="280" t="s">
        <v>516</v>
      </c>
      <c r="M130" s="280" t="s">
        <v>538</v>
      </c>
      <c r="N130" s="280" t="s">
        <v>741</v>
      </c>
      <c r="O130" s="280"/>
      <c r="P130" s="280" t="s">
        <v>1051</v>
      </c>
      <c r="Q130" s="280" t="s">
        <v>1052</v>
      </c>
      <c r="R130" s="280"/>
      <c r="S130" s="280" t="s">
        <v>1053</v>
      </c>
      <c r="T130" s="280" t="s">
        <v>1054</v>
      </c>
      <c r="U130" s="280" t="s">
        <v>30</v>
      </c>
      <c r="V130" s="280" t="s">
        <v>538</v>
      </c>
      <c r="W130" s="280" t="s">
        <v>564</v>
      </c>
      <c r="X130" s="280">
        <f t="shared" si="3"/>
        <v>5</v>
      </c>
    </row>
    <row r="131" spans="1:24" ht="220.5" customHeight="1" x14ac:dyDescent="0.2">
      <c r="A131" s="280" t="s">
        <v>161</v>
      </c>
      <c r="B131" s="280" t="s">
        <v>1055</v>
      </c>
      <c r="C131" s="280">
        <v>0</v>
      </c>
      <c r="D131" s="280">
        <v>0</v>
      </c>
      <c r="E131" s="280">
        <v>1</v>
      </c>
      <c r="F131" s="280">
        <v>0</v>
      </c>
      <c r="G131" s="280">
        <v>0</v>
      </c>
      <c r="H131" s="280">
        <v>0</v>
      </c>
      <c r="I131" s="280">
        <v>0</v>
      </c>
      <c r="J131" s="280">
        <v>1</v>
      </c>
      <c r="K131" s="280"/>
      <c r="L131" s="280" t="s">
        <v>516</v>
      </c>
      <c r="M131" s="280" t="s">
        <v>538</v>
      </c>
      <c r="N131" s="280" t="s">
        <v>741</v>
      </c>
      <c r="O131" s="280"/>
      <c r="P131" s="280" t="s">
        <v>1056</v>
      </c>
      <c r="Q131" s="280" t="s">
        <v>1057</v>
      </c>
      <c r="R131" s="280"/>
      <c r="S131" s="280" t="s">
        <v>1058</v>
      </c>
      <c r="T131" s="280" t="s">
        <v>998</v>
      </c>
      <c r="U131" s="280" t="s">
        <v>30</v>
      </c>
      <c r="V131" s="280" t="s">
        <v>538</v>
      </c>
      <c r="W131" s="280" t="s">
        <v>564</v>
      </c>
      <c r="X131" s="280">
        <f t="shared" si="3"/>
        <v>5</v>
      </c>
    </row>
    <row r="132" spans="1:24" ht="126" customHeight="1" x14ac:dyDescent="0.2">
      <c r="A132" s="280" t="s">
        <v>162</v>
      </c>
      <c r="B132" s="280" t="s">
        <v>1059</v>
      </c>
      <c r="C132" s="280">
        <v>0</v>
      </c>
      <c r="D132" s="280">
        <v>0</v>
      </c>
      <c r="E132" s="280">
        <v>1</v>
      </c>
      <c r="F132" s="280">
        <v>0</v>
      </c>
      <c r="G132" s="280">
        <v>0</v>
      </c>
      <c r="H132" s="280">
        <v>0</v>
      </c>
      <c r="I132" s="280">
        <v>0</v>
      </c>
      <c r="J132" s="280">
        <v>1</v>
      </c>
      <c r="K132" s="280"/>
      <c r="L132" s="280" t="s">
        <v>516</v>
      </c>
      <c r="M132" s="280" t="s">
        <v>538</v>
      </c>
      <c r="N132" s="280" t="s">
        <v>741</v>
      </c>
      <c r="O132" s="280"/>
      <c r="P132" s="280" t="s">
        <v>1060</v>
      </c>
      <c r="Q132" s="280" t="s">
        <v>1061</v>
      </c>
      <c r="R132" s="280"/>
      <c r="S132" s="280" t="s">
        <v>997</v>
      </c>
      <c r="T132" s="280" t="s">
        <v>998</v>
      </c>
      <c r="U132" s="280" t="s">
        <v>30</v>
      </c>
      <c r="V132" s="280" t="s">
        <v>538</v>
      </c>
      <c r="W132" s="280" t="s">
        <v>564</v>
      </c>
      <c r="X132" s="280">
        <f t="shared" si="3"/>
        <v>5</v>
      </c>
    </row>
    <row r="133" spans="1:24" ht="168" customHeight="1" x14ac:dyDescent="0.2">
      <c r="A133" s="280" t="s">
        <v>163</v>
      </c>
      <c r="B133" s="280" t="s">
        <v>1062</v>
      </c>
      <c r="C133" s="280">
        <v>0</v>
      </c>
      <c r="D133" s="280">
        <v>0</v>
      </c>
      <c r="E133" s="280">
        <v>1</v>
      </c>
      <c r="F133" s="280">
        <v>0</v>
      </c>
      <c r="G133" s="280">
        <v>0</v>
      </c>
      <c r="H133" s="280">
        <v>0</v>
      </c>
      <c r="I133" s="280">
        <v>0</v>
      </c>
      <c r="J133" s="280">
        <v>1</v>
      </c>
      <c r="K133" s="280"/>
      <c r="L133" s="280" t="s">
        <v>516</v>
      </c>
      <c r="M133" s="280" t="s">
        <v>538</v>
      </c>
      <c r="N133" s="280" t="s">
        <v>741</v>
      </c>
      <c r="O133" s="280" t="s">
        <v>1063</v>
      </c>
      <c r="P133" s="280" t="s">
        <v>1064</v>
      </c>
      <c r="Q133" s="280" t="s">
        <v>1065</v>
      </c>
      <c r="R133" s="280"/>
      <c r="S133" s="280" t="s">
        <v>1066</v>
      </c>
      <c r="T133" s="280" t="s">
        <v>1067</v>
      </c>
      <c r="U133" s="280" t="s">
        <v>30</v>
      </c>
      <c r="V133" s="280" t="s">
        <v>538</v>
      </c>
      <c r="W133" s="280" t="s">
        <v>564</v>
      </c>
      <c r="X133" s="280">
        <f t="shared" si="3"/>
        <v>5</v>
      </c>
    </row>
    <row r="134" spans="1:24" ht="223.5" customHeight="1" x14ac:dyDescent="0.2">
      <c r="A134" s="280" t="s">
        <v>164</v>
      </c>
      <c r="B134" s="280" t="s">
        <v>1068</v>
      </c>
      <c r="C134" s="280">
        <v>0</v>
      </c>
      <c r="D134" s="280">
        <v>0</v>
      </c>
      <c r="E134" s="280">
        <v>1</v>
      </c>
      <c r="F134" s="280">
        <v>0</v>
      </c>
      <c r="G134" s="280">
        <v>0</v>
      </c>
      <c r="H134" s="280">
        <v>0</v>
      </c>
      <c r="I134" s="280">
        <v>0</v>
      </c>
      <c r="J134" s="280">
        <v>0</v>
      </c>
      <c r="K134" s="280"/>
      <c r="L134" s="280" t="s">
        <v>516</v>
      </c>
      <c r="M134" s="280" t="s">
        <v>538</v>
      </c>
      <c r="N134" s="280" t="s">
        <v>741</v>
      </c>
      <c r="O134" s="280" t="s">
        <v>1069</v>
      </c>
      <c r="P134" s="280" t="s">
        <v>1069</v>
      </c>
      <c r="Q134" s="280" t="s">
        <v>1069</v>
      </c>
      <c r="R134" s="280"/>
      <c r="S134" s="280" t="s">
        <v>1070</v>
      </c>
      <c r="T134" s="280" t="s">
        <v>1071</v>
      </c>
      <c r="U134" s="280" t="s">
        <v>30</v>
      </c>
      <c r="V134" s="280" t="s">
        <v>538</v>
      </c>
      <c r="W134" s="280" t="s">
        <v>564</v>
      </c>
      <c r="X134" s="280">
        <f t="shared" si="3"/>
        <v>5</v>
      </c>
    </row>
    <row r="135" spans="1:24" ht="252" customHeight="1" x14ac:dyDescent="0.2">
      <c r="A135" s="283" t="s">
        <v>180</v>
      </c>
      <c r="B135" s="280" t="s">
        <v>1072</v>
      </c>
      <c r="C135" s="280">
        <v>0</v>
      </c>
      <c r="D135" s="280">
        <v>0</v>
      </c>
      <c r="E135" s="280">
        <v>0</v>
      </c>
      <c r="F135" s="280">
        <v>1</v>
      </c>
      <c r="G135" s="280">
        <v>0</v>
      </c>
      <c r="H135" s="280">
        <v>0</v>
      </c>
      <c r="I135" s="280">
        <v>0</v>
      </c>
      <c r="J135" s="280">
        <v>1</v>
      </c>
      <c r="K135" s="280"/>
      <c r="L135" s="280" t="s">
        <v>469</v>
      </c>
      <c r="M135" s="280" t="s">
        <v>538</v>
      </c>
      <c r="N135" s="280" t="s">
        <v>1073</v>
      </c>
      <c r="O135" s="280" t="s">
        <v>1074</v>
      </c>
      <c r="P135" s="280" t="s">
        <v>1074</v>
      </c>
      <c r="Q135" s="280" t="s">
        <v>1074</v>
      </c>
      <c r="R135" s="280"/>
      <c r="S135" s="280" t="s">
        <v>1075</v>
      </c>
      <c r="T135" s="280" t="s">
        <v>1076</v>
      </c>
      <c r="U135" s="280" t="s">
        <v>469</v>
      </c>
      <c r="V135" s="280" t="s">
        <v>538</v>
      </c>
      <c r="W135" s="280"/>
      <c r="X135" s="280"/>
    </row>
    <row r="136" spans="1:24" ht="391.5" customHeight="1" x14ac:dyDescent="0.2">
      <c r="A136" s="280" t="s">
        <v>181</v>
      </c>
      <c r="B136" s="280" t="s">
        <v>1077</v>
      </c>
      <c r="C136" s="280">
        <v>0</v>
      </c>
      <c r="D136" s="280">
        <v>0</v>
      </c>
      <c r="E136" s="280">
        <v>0</v>
      </c>
      <c r="F136" s="280">
        <v>1</v>
      </c>
      <c r="G136" s="280">
        <v>0</v>
      </c>
      <c r="H136" s="280">
        <v>0</v>
      </c>
      <c r="I136" s="280">
        <v>0</v>
      </c>
      <c r="J136" s="280">
        <v>0</v>
      </c>
      <c r="K136" s="280"/>
      <c r="L136" s="280" t="s">
        <v>740</v>
      </c>
      <c r="M136" s="280" t="s">
        <v>538</v>
      </c>
      <c r="N136" s="280"/>
      <c r="O136" s="280"/>
      <c r="P136" s="280"/>
      <c r="Q136" s="280" t="s">
        <v>1078</v>
      </c>
      <c r="R136" s="280"/>
      <c r="S136" s="280" t="s">
        <v>1079</v>
      </c>
      <c r="T136" s="280" t="s">
        <v>1080</v>
      </c>
      <c r="U136" s="280" t="s">
        <v>30</v>
      </c>
      <c r="V136" s="280" t="s">
        <v>538</v>
      </c>
      <c r="W136" s="280" t="s">
        <v>555</v>
      </c>
      <c r="X136" s="280">
        <f t="shared" ref="X136:X159" si="4">IF($W136="Critical Importance",20,IF($W136="Minor Importance",5,10))</f>
        <v>10</v>
      </c>
    </row>
    <row r="137" spans="1:24" ht="339.75" customHeight="1" x14ac:dyDescent="0.2">
      <c r="A137" s="283" t="s">
        <v>182</v>
      </c>
      <c r="B137" s="280" t="s">
        <v>1081</v>
      </c>
      <c r="C137" s="280">
        <v>0</v>
      </c>
      <c r="D137" s="280">
        <v>0</v>
      </c>
      <c r="E137" s="280">
        <v>0</v>
      </c>
      <c r="F137" s="280">
        <v>1</v>
      </c>
      <c r="G137" s="280">
        <v>0</v>
      </c>
      <c r="H137" s="280">
        <v>0</v>
      </c>
      <c r="I137" s="280">
        <v>0</v>
      </c>
      <c r="J137" s="280">
        <v>1</v>
      </c>
      <c r="K137" s="280"/>
      <c r="L137" s="280" t="s">
        <v>740</v>
      </c>
      <c r="M137" s="280" t="s">
        <v>538</v>
      </c>
      <c r="N137" s="280"/>
      <c r="O137" s="280" t="s">
        <v>1082</v>
      </c>
      <c r="P137" s="280" t="s">
        <v>1083</v>
      </c>
      <c r="Q137" s="280" t="s">
        <v>1082</v>
      </c>
      <c r="R137" s="280"/>
      <c r="S137" s="280" t="s">
        <v>1084</v>
      </c>
      <c r="T137" s="280" t="s">
        <v>1085</v>
      </c>
      <c r="U137" s="280" t="s">
        <v>30</v>
      </c>
      <c r="V137" s="280" t="s">
        <v>538</v>
      </c>
      <c r="W137" s="280" t="s">
        <v>555</v>
      </c>
      <c r="X137" s="280">
        <f t="shared" si="4"/>
        <v>10</v>
      </c>
    </row>
    <row r="138" spans="1:24" ht="186" customHeight="1" x14ac:dyDescent="0.2">
      <c r="A138" s="280" t="s">
        <v>183</v>
      </c>
      <c r="B138" s="280" t="s">
        <v>1086</v>
      </c>
      <c r="C138" s="280">
        <v>0</v>
      </c>
      <c r="D138" s="280">
        <v>0</v>
      </c>
      <c r="E138" s="280">
        <v>0</v>
      </c>
      <c r="F138" s="280">
        <v>1</v>
      </c>
      <c r="G138" s="280">
        <v>0</v>
      </c>
      <c r="H138" s="280">
        <v>0</v>
      </c>
      <c r="I138" s="280">
        <v>0</v>
      </c>
      <c r="J138" s="280">
        <v>0</v>
      </c>
      <c r="K138" s="280"/>
      <c r="L138" s="280" t="s">
        <v>740</v>
      </c>
      <c r="M138" s="280" t="s">
        <v>538</v>
      </c>
      <c r="N138" s="280"/>
      <c r="O138" s="280"/>
      <c r="P138" s="280" t="s">
        <v>1087</v>
      </c>
      <c r="Q138" s="280" t="s">
        <v>1088</v>
      </c>
      <c r="R138" s="280"/>
      <c r="S138" s="280" t="s">
        <v>1089</v>
      </c>
      <c r="T138" s="280" t="s">
        <v>1090</v>
      </c>
      <c r="U138" s="280" t="s">
        <v>30</v>
      </c>
      <c r="V138" s="280" t="s">
        <v>538</v>
      </c>
      <c r="W138" s="280" t="s">
        <v>555</v>
      </c>
      <c r="X138" s="280">
        <f t="shared" si="4"/>
        <v>10</v>
      </c>
    </row>
    <row r="139" spans="1:24" ht="168" customHeight="1" x14ac:dyDescent="0.2">
      <c r="A139" s="283" t="s">
        <v>184</v>
      </c>
      <c r="B139" s="280" t="s">
        <v>1091</v>
      </c>
      <c r="C139" s="280">
        <v>0</v>
      </c>
      <c r="D139" s="280">
        <v>0</v>
      </c>
      <c r="E139" s="280">
        <v>0</v>
      </c>
      <c r="F139" s="280">
        <v>1</v>
      </c>
      <c r="G139" s="280">
        <v>0</v>
      </c>
      <c r="H139" s="280">
        <v>0</v>
      </c>
      <c r="I139" s="280">
        <v>0</v>
      </c>
      <c r="J139" s="280">
        <v>0</v>
      </c>
      <c r="K139" s="280"/>
      <c r="L139" s="280" t="s">
        <v>740</v>
      </c>
      <c r="M139" s="280" t="s">
        <v>538</v>
      </c>
      <c r="N139" s="280"/>
      <c r="O139" s="280"/>
      <c r="P139" s="280" t="s">
        <v>1092</v>
      </c>
      <c r="Q139" s="280" t="s">
        <v>1093</v>
      </c>
      <c r="R139" s="280"/>
      <c r="S139" s="280" t="s">
        <v>1094</v>
      </c>
      <c r="T139" s="280" t="s">
        <v>1095</v>
      </c>
      <c r="U139" s="280" t="s">
        <v>30</v>
      </c>
      <c r="V139" s="280" t="s">
        <v>538</v>
      </c>
      <c r="W139" s="280" t="s">
        <v>555</v>
      </c>
      <c r="X139" s="280">
        <f t="shared" si="4"/>
        <v>10</v>
      </c>
    </row>
    <row r="140" spans="1:24" ht="168" customHeight="1" x14ac:dyDescent="0.2">
      <c r="A140" s="281" t="s">
        <v>185</v>
      </c>
      <c r="B140" s="281" t="s">
        <v>1096</v>
      </c>
      <c r="C140" s="280">
        <v>0</v>
      </c>
      <c r="D140" s="280">
        <v>0</v>
      </c>
      <c r="E140" s="280">
        <v>0</v>
      </c>
      <c r="F140" s="280">
        <v>1</v>
      </c>
      <c r="G140" s="280">
        <v>0</v>
      </c>
      <c r="H140" s="280">
        <v>0</v>
      </c>
      <c r="I140" s="280">
        <v>0</v>
      </c>
      <c r="J140" s="280">
        <v>0</v>
      </c>
      <c r="K140" s="280"/>
      <c r="L140" s="280" t="s">
        <v>740</v>
      </c>
      <c r="M140" s="280" t="s">
        <v>538</v>
      </c>
      <c r="N140" s="280"/>
      <c r="O140" s="280"/>
      <c r="P140" s="280" t="s">
        <v>1097</v>
      </c>
      <c r="Q140" s="280"/>
      <c r="R140" s="280"/>
      <c r="S140" s="280" t="s">
        <v>1094</v>
      </c>
      <c r="T140" s="280" t="s">
        <v>1095</v>
      </c>
      <c r="U140" s="280" t="s">
        <v>30</v>
      </c>
      <c r="V140" s="280" t="s">
        <v>538</v>
      </c>
      <c r="W140" s="280" t="s">
        <v>606</v>
      </c>
      <c r="X140" s="280">
        <f t="shared" si="4"/>
        <v>20</v>
      </c>
    </row>
    <row r="141" spans="1:24" ht="214.5" customHeight="1" x14ac:dyDescent="0.2">
      <c r="A141" s="283" t="s">
        <v>186</v>
      </c>
      <c r="B141" s="280" t="s">
        <v>1098</v>
      </c>
      <c r="C141" s="280">
        <v>0</v>
      </c>
      <c r="D141" s="280">
        <v>0</v>
      </c>
      <c r="E141" s="280">
        <v>0</v>
      </c>
      <c r="F141" s="280">
        <v>1</v>
      </c>
      <c r="G141" s="280">
        <v>0</v>
      </c>
      <c r="H141" s="280">
        <v>0</v>
      </c>
      <c r="I141" s="280">
        <v>0</v>
      </c>
      <c r="J141" s="280">
        <v>0</v>
      </c>
      <c r="K141" s="280"/>
      <c r="L141" s="280" t="s">
        <v>740</v>
      </c>
      <c r="M141" s="280" t="s">
        <v>538</v>
      </c>
      <c r="N141" s="280"/>
      <c r="O141" s="280"/>
      <c r="P141" s="280" t="s">
        <v>1099</v>
      </c>
      <c r="Q141" s="280" t="s">
        <v>1100</v>
      </c>
      <c r="R141" s="280"/>
      <c r="S141" s="280" t="s">
        <v>1101</v>
      </c>
      <c r="T141" s="280" t="s">
        <v>1102</v>
      </c>
      <c r="U141" s="280" t="s">
        <v>30</v>
      </c>
      <c r="V141" s="280" t="s">
        <v>538</v>
      </c>
      <c r="W141" s="280" t="s">
        <v>555</v>
      </c>
      <c r="X141" s="280">
        <f t="shared" si="4"/>
        <v>10</v>
      </c>
    </row>
    <row r="142" spans="1:24" ht="69.75" customHeight="1" x14ac:dyDescent="0.2">
      <c r="A142" s="280" t="s">
        <v>187</v>
      </c>
      <c r="B142" s="280" t="s">
        <v>1103</v>
      </c>
      <c r="C142" s="280">
        <v>0</v>
      </c>
      <c r="D142" s="280">
        <v>0</v>
      </c>
      <c r="E142" s="280">
        <v>0</v>
      </c>
      <c r="F142" s="280">
        <v>1</v>
      </c>
      <c r="G142" s="280">
        <v>0</v>
      </c>
      <c r="H142" s="280">
        <v>0</v>
      </c>
      <c r="I142" s="280">
        <v>0</v>
      </c>
      <c r="J142" s="280">
        <v>0</v>
      </c>
      <c r="K142" s="280"/>
      <c r="L142" s="280" t="s">
        <v>740</v>
      </c>
      <c r="M142" s="280" t="s">
        <v>538</v>
      </c>
      <c r="N142" s="280"/>
      <c r="O142" s="280"/>
      <c r="P142" s="280" t="s">
        <v>1104</v>
      </c>
      <c r="Q142" s="280" t="s">
        <v>1105</v>
      </c>
      <c r="R142" s="280"/>
      <c r="S142" s="280" t="s">
        <v>1106</v>
      </c>
      <c r="T142" s="280" t="s">
        <v>1107</v>
      </c>
      <c r="U142" s="280" t="s">
        <v>30</v>
      </c>
      <c r="V142" s="280" t="s">
        <v>538</v>
      </c>
      <c r="W142" s="280" t="s">
        <v>555</v>
      </c>
      <c r="X142" s="280">
        <f t="shared" si="4"/>
        <v>10</v>
      </c>
    </row>
    <row r="143" spans="1:24" ht="69.75" customHeight="1" x14ac:dyDescent="0.2">
      <c r="A143" s="283" t="s">
        <v>188</v>
      </c>
      <c r="B143" s="280" t="s">
        <v>1108</v>
      </c>
      <c r="C143" s="280">
        <v>0</v>
      </c>
      <c r="D143" s="280">
        <v>0</v>
      </c>
      <c r="E143" s="280">
        <v>0</v>
      </c>
      <c r="F143" s="280">
        <v>1</v>
      </c>
      <c r="G143" s="280">
        <v>0</v>
      </c>
      <c r="H143" s="280">
        <v>0</v>
      </c>
      <c r="I143" s="280">
        <v>0</v>
      </c>
      <c r="J143" s="280">
        <v>0</v>
      </c>
      <c r="K143" s="280"/>
      <c r="L143" s="280" t="s">
        <v>740</v>
      </c>
      <c r="M143" s="280" t="s">
        <v>538</v>
      </c>
      <c r="N143" s="280"/>
      <c r="O143" s="280"/>
      <c r="P143" s="280" t="s">
        <v>1109</v>
      </c>
      <c r="Q143" s="280" t="s">
        <v>1110</v>
      </c>
      <c r="R143" s="280"/>
      <c r="S143" s="280" t="s">
        <v>1106</v>
      </c>
      <c r="T143" s="280" t="s">
        <v>1107</v>
      </c>
      <c r="U143" s="280" t="s">
        <v>30</v>
      </c>
      <c r="V143" s="280" t="s">
        <v>538</v>
      </c>
      <c r="W143" s="280" t="s">
        <v>555</v>
      </c>
      <c r="X143" s="280">
        <f t="shared" si="4"/>
        <v>10</v>
      </c>
    </row>
    <row r="144" spans="1:24" ht="192.75" customHeight="1" x14ac:dyDescent="0.2">
      <c r="A144" s="281" t="s">
        <v>189</v>
      </c>
      <c r="B144" s="281" t="s">
        <v>1111</v>
      </c>
      <c r="C144" s="280">
        <v>0</v>
      </c>
      <c r="D144" s="280">
        <v>0</v>
      </c>
      <c r="E144" s="280">
        <v>0</v>
      </c>
      <c r="F144" s="280">
        <v>1</v>
      </c>
      <c r="G144" s="280">
        <v>0</v>
      </c>
      <c r="H144" s="280">
        <v>0</v>
      </c>
      <c r="I144" s="280">
        <v>0</v>
      </c>
      <c r="J144" s="280">
        <v>0</v>
      </c>
      <c r="K144" s="280"/>
      <c r="L144" s="280" t="s">
        <v>740</v>
      </c>
      <c r="M144" s="280" t="s">
        <v>538</v>
      </c>
      <c r="N144" s="280"/>
      <c r="O144" s="280"/>
      <c r="P144" s="280" t="s">
        <v>1112</v>
      </c>
      <c r="Q144" s="280" t="s">
        <v>1113</v>
      </c>
      <c r="R144" s="280"/>
      <c r="S144" s="280" t="s">
        <v>1114</v>
      </c>
      <c r="T144" s="280" t="s">
        <v>1115</v>
      </c>
      <c r="U144" s="280" t="s">
        <v>30</v>
      </c>
      <c r="V144" s="280" t="s">
        <v>538</v>
      </c>
      <c r="W144" s="280" t="s">
        <v>606</v>
      </c>
      <c r="X144" s="280">
        <f t="shared" si="4"/>
        <v>20</v>
      </c>
    </row>
    <row r="145" spans="1:24" ht="139.5" customHeight="1" x14ac:dyDescent="0.2">
      <c r="A145" s="283" t="s">
        <v>190</v>
      </c>
      <c r="B145" s="280" t="s">
        <v>1116</v>
      </c>
      <c r="C145" s="280">
        <v>0</v>
      </c>
      <c r="D145" s="280">
        <v>0</v>
      </c>
      <c r="E145" s="280">
        <v>0</v>
      </c>
      <c r="F145" s="280">
        <v>1</v>
      </c>
      <c r="G145" s="280">
        <v>0</v>
      </c>
      <c r="H145" s="280">
        <v>0</v>
      </c>
      <c r="I145" s="280">
        <v>0</v>
      </c>
      <c r="J145" s="280">
        <v>0</v>
      </c>
      <c r="K145" s="280"/>
      <c r="L145" s="280" t="s">
        <v>740</v>
      </c>
      <c r="M145" s="280" t="s">
        <v>538</v>
      </c>
      <c r="N145" s="280"/>
      <c r="O145" s="280"/>
      <c r="P145" s="280"/>
      <c r="Q145" s="280"/>
      <c r="R145" s="280"/>
      <c r="S145" s="280" t="s">
        <v>1117</v>
      </c>
      <c r="T145" s="280" t="s">
        <v>1118</v>
      </c>
      <c r="U145" s="280" t="s">
        <v>30</v>
      </c>
      <c r="V145" s="280" t="s">
        <v>538</v>
      </c>
      <c r="W145" s="280" t="s">
        <v>555</v>
      </c>
      <c r="X145" s="280">
        <f t="shared" si="4"/>
        <v>10</v>
      </c>
    </row>
    <row r="146" spans="1:24" ht="69.75" customHeight="1" x14ac:dyDescent="0.2">
      <c r="A146" s="280" t="s">
        <v>191</v>
      </c>
      <c r="B146" s="280" t="s">
        <v>1119</v>
      </c>
      <c r="C146" s="280">
        <v>0</v>
      </c>
      <c r="D146" s="280">
        <v>0</v>
      </c>
      <c r="E146" s="280">
        <v>0</v>
      </c>
      <c r="F146" s="280">
        <v>1</v>
      </c>
      <c r="G146" s="280">
        <v>0</v>
      </c>
      <c r="H146" s="280">
        <v>0</v>
      </c>
      <c r="I146" s="280">
        <v>0</v>
      </c>
      <c r="J146" s="280">
        <v>0</v>
      </c>
      <c r="K146" s="280"/>
      <c r="L146" s="280" t="s">
        <v>740</v>
      </c>
      <c r="M146" s="280" t="s">
        <v>538</v>
      </c>
      <c r="N146" s="280"/>
      <c r="O146" s="280" t="s">
        <v>1120</v>
      </c>
      <c r="P146" s="280" t="s">
        <v>1120</v>
      </c>
      <c r="Q146" s="280" t="s">
        <v>1121</v>
      </c>
      <c r="R146" s="280"/>
      <c r="S146" s="280" t="s">
        <v>1106</v>
      </c>
      <c r="T146" s="280" t="s">
        <v>1107</v>
      </c>
      <c r="U146" s="280" t="s">
        <v>30</v>
      </c>
      <c r="V146" s="280" t="s">
        <v>538</v>
      </c>
      <c r="W146" s="280" t="s">
        <v>555</v>
      </c>
      <c r="X146" s="280">
        <f t="shared" si="4"/>
        <v>10</v>
      </c>
    </row>
    <row r="147" spans="1:24" ht="69.75" customHeight="1" x14ac:dyDescent="0.2">
      <c r="A147" s="283" t="s">
        <v>192</v>
      </c>
      <c r="B147" s="280" t="s">
        <v>1122</v>
      </c>
      <c r="C147" s="280">
        <v>0</v>
      </c>
      <c r="D147" s="280">
        <v>0</v>
      </c>
      <c r="E147" s="280">
        <v>0</v>
      </c>
      <c r="F147" s="280">
        <v>1</v>
      </c>
      <c r="G147" s="280">
        <v>0</v>
      </c>
      <c r="H147" s="280">
        <v>0</v>
      </c>
      <c r="I147" s="280">
        <v>0</v>
      </c>
      <c r="J147" s="280">
        <v>0</v>
      </c>
      <c r="K147" s="280"/>
      <c r="L147" s="280" t="s">
        <v>740</v>
      </c>
      <c r="M147" s="280" t="s">
        <v>538</v>
      </c>
      <c r="N147" s="280"/>
      <c r="O147" s="280"/>
      <c r="P147" s="280" t="s">
        <v>1123</v>
      </c>
      <c r="Q147" s="280" t="s">
        <v>1124</v>
      </c>
      <c r="R147" s="280"/>
      <c r="S147" s="280" t="s">
        <v>1106</v>
      </c>
      <c r="T147" s="280" t="s">
        <v>1107</v>
      </c>
      <c r="U147" s="280" t="s">
        <v>30</v>
      </c>
      <c r="V147" s="280" t="s">
        <v>538</v>
      </c>
      <c r="W147" s="280" t="s">
        <v>555</v>
      </c>
      <c r="X147" s="280">
        <f t="shared" si="4"/>
        <v>10</v>
      </c>
    </row>
    <row r="148" spans="1:24" ht="111.75" customHeight="1" x14ac:dyDescent="0.2">
      <c r="A148" s="280" t="s">
        <v>193</v>
      </c>
      <c r="B148" s="280" t="s">
        <v>1125</v>
      </c>
      <c r="C148" s="280">
        <v>0</v>
      </c>
      <c r="D148" s="280">
        <v>0</v>
      </c>
      <c r="E148" s="280">
        <v>0</v>
      </c>
      <c r="F148" s="280">
        <v>1</v>
      </c>
      <c r="G148" s="280">
        <v>0</v>
      </c>
      <c r="H148" s="280">
        <v>0</v>
      </c>
      <c r="I148" s="280">
        <v>0</v>
      </c>
      <c r="J148" s="280">
        <v>0</v>
      </c>
      <c r="K148" s="280"/>
      <c r="L148" s="280" t="s">
        <v>740</v>
      </c>
      <c r="M148" s="280" t="s">
        <v>538</v>
      </c>
      <c r="N148" s="280"/>
      <c r="O148" s="280"/>
      <c r="P148" s="280" t="s">
        <v>1126</v>
      </c>
      <c r="Q148" s="280" t="s">
        <v>1127</v>
      </c>
      <c r="R148" s="280"/>
      <c r="S148" s="280" t="s">
        <v>1128</v>
      </c>
      <c r="T148" s="280" t="s">
        <v>887</v>
      </c>
      <c r="U148" s="280" t="s">
        <v>30</v>
      </c>
      <c r="V148" s="280" t="s">
        <v>538</v>
      </c>
      <c r="W148" s="280" t="s">
        <v>555</v>
      </c>
      <c r="X148" s="280">
        <f t="shared" si="4"/>
        <v>10</v>
      </c>
    </row>
    <row r="149" spans="1:24" ht="69.75" customHeight="1" x14ac:dyDescent="0.2">
      <c r="A149" s="283" t="s">
        <v>194</v>
      </c>
      <c r="B149" s="280" t="s">
        <v>1129</v>
      </c>
      <c r="C149" s="280">
        <v>0</v>
      </c>
      <c r="D149" s="280">
        <v>0</v>
      </c>
      <c r="E149" s="280">
        <v>0</v>
      </c>
      <c r="F149" s="280">
        <v>1</v>
      </c>
      <c r="G149" s="280">
        <v>0</v>
      </c>
      <c r="H149" s="280">
        <v>0</v>
      </c>
      <c r="I149" s="280">
        <v>0</v>
      </c>
      <c r="J149" s="280">
        <v>0</v>
      </c>
      <c r="K149" s="280"/>
      <c r="L149" s="280" t="s">
        <v>740</v>
      </c>
      <c r="M149" s="280" t="s">
        <v>538</v>
      </c>
      <c r="N149" s="280"/>
      <c r="O149" s="280"/>
      <c r="P149" s="280" t="s">
        <v>1130</v>
      </c>
      <c r="Q149" s="280"/>
      <c r="R149" s="280"/>
      <c r="S149" s="280" t="s">
        <v>1131</v>
      </c>
      <c r="T149" s="280" t="s">
        <v>1132</v>
      </c>
      <c r="U149" s="280" t="s">
        <v>30</v>
      </c>
      <c r="V149" s="280" t="s">
        <v>538</v>
      </c>
      <c r="W149" s="280" t="s">
        <v>555</v>
      </c>
      <c r="X149" s="280">
        <f t="shared" si="4"/>
        <v>10</v>
      </c>
    </row>
    <row r="150" spans="1:24" ht="223.5" customHeight="1" x14ac:dyDescent="0.2">
      <c r="A150" s="280" t="s">
        <v>195</v>
      </c>
      <c r="B150" s="280" t="s">
        <v>1133</v>
      </c>
      <c r="C150" s="280">
        <v>0</v>
      </c>
      <c r="D150" s="280">
        <v>0</v>
      </c>
      <c r="E150" s="280">
        <v>0</v>
      </c>
      <c r="F150" s="280">
        <v>1</v>
      </c>
      <c r="G150" s="280">
        <v>0</v>
      </c>
      <c r="H150" s="280">
        <v>0</v>
      </c>
      <c r="I150" s="280">
        <v>0</v>
      </c>
      <c r="J150" s="280">
        <v>0</v>
      </c>
      <c r="K150" s="280"/>
      <c r="L150" s="280" t="s">
        <v>740</v>
      </c>
      <c r="M150" s="280" t="s">
        <v>538</v>
      </c>
      <c r="N150" s="280"/>
      <c r="O150" s="280" t="s">
        <v>1134</v>
      </c>
      <c r="P150" s="280" t="s">
        <v>1134</v>
      </c>
      <c r="Q150" s="280" t="s">
        <v>1134</v>
      </c>
      <c r="R150" s="280"/>
      <c r="S150" s="280" t="s">
        <v>1070</v>
      </c>
      <c r="T150" s="280" t="s">
        <v>1071</v>
      </c>
      <c r="U150" s="280" t="s">
        <v>26</v>
      </c>
      <c r="V150" s="280" t="s">
        <v>538</v>
      </c>
      <c r="W150" s="280" t="s">
        <v>555</v>
      </c>
      <c r="X150" s="280">
        <f t="shared" si="4"/>
        <v>10</v>
      </c>
    </row>
    <row r="151" spans="1:24" ht="183" customHeight="1" x14ac:dyDescent="0.2">
      <c r="A151" s="281" t="s">
        <v>196</v>
      </c>
      <c r="B151" s="281" t="s">
        <v>1135</v>
      </c>
      <c r="C151" s="280">
        <v>0</v>
      </c>
      <c r="D151" s="280">
        <v>0</v>
      </c>
      <c r="E151" s="280">
        <v>0</v>
      </c>
      <c r="F151" s="280">
        <v>1</v>
      </c>
      <c r="G151" s="280">
        <v>0</v>
      </c>
      <c r="H151" s="280">
        <v>0</v>
      </c>
      <c r="I151" s="280">
        <v>0</v>
      </c>
      <c r="J151" s="280">
        <v>1</v>
      </c>
      <c r="K151" s="280"/>
      <c r="L151" s="280" t="s">
        <v>740</v>
      </c>
      <c r="M151" s="280" t="s">
        <v>538</v>
      </c>
      <c r="N151" s="280" t="s">
        <v>741</v>
      </c>
      <c r="O151" s="280"/>
      <c r="P151" s="280" t="s">
        <v>1136</v>
      </c>
      <c r="Q151" s="280" t="s">
        <v>1137</v>
      </c>
      <c r="R151" s="280"/>
      <c r="S151" s="280" t="s">
        <v>1138</v>
      </c>
      <c r="T151" s="280" t="s">
        <v>1139</v>
      </c>
      <c r="U151" s="280" t="s">
        <v>30</v>
      </c>
      <c r="V151" s="280" t="s">
        <v>538</v>
      </c>
      <c r="W151" s="280" t="s">
        <v>606</v>
      </c>
      <c r="X151" s="280">
        <f t="shared" si="4"/>
        <v>20</v>
      </c>
    </row>
    <row r="152" spans="1:24" ht="181.5" customHeight="1" x14ac:dyDescent="0.2">
      <c r="A152" s="281" t="s">
        <v>197</v>
      </c>
      <c r="B152" s="281" t="s">
        <v>1140</v>
      </c>
      <c r="C152" s="280">
        <v>0</v>
      </c>
      <c r="D152" s="280">
        <v>0</v>
      </c>
      <c r="E152" s="280">
        <v>0</v>
      </c>
      <c r="F152" s="280">
        <v>1</v>
      </c>
      <c r="G152" s="280">
        <v>0</v>
      </c>
      <c r="H152" s="280">
        <v>0</v>
      </c>
      <c r="I152" s="280">
        <v>0</v>
      </c>
      <c r="J152" s="280">
        <v>1</v>
      </c>
      <c r="K152" s="280"/>
      <c r="L152" s="280" t="s">
        <v>740</v>
      </c>
      <c r="M152" s="280" t="s">
        <v>538</v>
      </c>
      <c r="N152" s="280" t="s">
        <v>741</v>
      </c>
      <c r="O152" s="280"/>
      <c r="P152" s="280" t="s">
        <v>1141</v>
      </c>
      <c r="Q152" s="280" t="s">
        <v>1142</v>
      </c>
      <c r="R152" s="280"/>
      <c r="S152" s="280" t="s">
        <v>1143</v>
      </c>
      <c r="T152" s="280" t="s">
        <v>1144</v>
      </c>
      <c r="U152" s="280" t="s">
        <v>30</v>
      </c>
      <c r="V152" s="280" t="s">
        <v>538</v>
      </c>
      <c r="W152" s="280" t="s">
        <v>606</v>
      </c>
      <c r="X152" s="280">
        <f t="shared" si="4"/>
        <v>20</v>
      </c>
    </row>
    <row r="153" spans="1:24" ht="204.75" customHeight="1" x14ac:dyDescent="0.2">
      <c r="A153" s="281" t="s">
        <v>198</v>
      </c>
      <c r="B153" s="281" t="s">
        <v>1145</v>
      </c>
      <c r="C153" s="280">
        <v>0</v>
      </c>
      <c r="D153" s="280">
        <v>0</v>
      </c>
      <c r="E153" s="280">
        <v>0</v>
      </c>
      <c r="F153" s="280">
        <v>1</v>
      </c>
      <c r="G153" s="280">
        <v>0</v>
      </c>
      <c r="H153" s="280">
        <v>0</v>
      </c>
      <c r="I153" s="280">
        <v>0</v>
      </c>
      <c r="J153" s="280">
        <v>1</v>
      </c>
      <c r="K153" s="280"/>
      <c r="L153" s="280" t="s">
        <v>740</v>
      </c>
      <c r="M153" s="280" t="s">
        <v>538</v>
      </c>
      <c r="N153" s="280" t="s">
        <v>741</v>
      </c>
      <c r="O153" s="280"/>
      <c r="P153" s="280" t="s">
        <v>1146</v>
      </c>
      <c r="Q153" s="280" t="s">
        <v>1147</v>
      </c>
      <c r="R153" s="280"/>
      <c r="S153" s="280" t="s">
        <v>1148</v>
      </c>
      <c r="T153" s="280" t="s">
        <v>1149</v>
      </c>
      <c r="U153" s="280" t="s">
        <v>30</v>
      </c>
      <c r="V153" s="280" t="s">
        <v>538</v>
      </c>
      <c r="W153" s="280" t="s">
        <v>606</v>
      </c>
      <c r="X153" s="280">
        <f t="shared" si="4"/>
        <v>20</v>
      </c>
    </row>
    <row r="154" spans="1:24" ht="203.25" customHeight="1" x14ac:dyDescent="0.2">
      <c r="A154" s="281" t="s">
        <v>199</v>
      </c>
      <c r="B154" s="281" t="s">
        <v>1150</v>
      </c>
      <c r="C154" s="280">
        <v>0</v>
      </c>
      <c r="D154" s="280">
        <v>0</v>
      </c>
      <c r="E154" s="280">
        <v>0</v>
      </c>
      <c r="F154" s="280">
        <v>1</v>
      </c>
      <c r="G154" s="280">
        <v>0</v>
      </c>
      <c r="H154" s="280">
        <v>0</v>
      </c>
      <c r="I154" s="280">
        <v>0</v>
      </c>
      <c r="J154" s="280">
        <v>0</v>
      </c>
      <c r="K154" s="280"/>
      <c r="L154" s="280" t="s">
        <v>740</v>
      </c>
      <c r="M154" s="280" t="s">
        <v>538</v>
      </c>
      <c r="N154" s="280" t="s">
        <v>741</v>
      </c>
      <c r="O154" s="280"/>
      <c r="P154" s="280" t="s">
        <v>1151</v>
      </c>
      <c r="Q154" s="280" t="s">
        <v>1152</v>
      </c>
      <c r="R154" s="280" t="s">
        <v>732</v>
      </c>
      <c r="S154" s="280" t="s">
        <v>1148</v>
      </c>
      <c r="T154" s="280" t="s">
        <v>1153</v>
      </c>
      <c r="U154" s="280" t="s">
        <v>30</v>
      </c>
      <c r="V154" s="280" t="s">
        <v>538</v>
      </c>
      <c r="W154" s="280" t="s">
        <v>606</v>
      </c>
      <c r="X154" s="280">
        <f t="shared" si="4"/>
        <v>20</v>
      </c>
    </row>
    <row r="155" spans="1:24" ht="168" customHeight="1" x14ac:dyDescent="0.2">
      <c r="A155" s="281" t="s">
        <v>200</v>
      </c>
      <c r="B155" s="281" t="s">
        <v>1154</v>
      </c>
      <c r="C155" s="280">
        <v>0</v>
      </c>
      <c r="D155" s="280">
        <v>0</v>
      </c>
      <c r="E155" s="280">
        <v>0</v>
      </c>
      <c r="F155" s="280">
        <v>1</v>
      </c>
      <c r="G155" s="280">
        <v>0</v>
      </c>
      <c r="H155" s="280">
        <v>0</v>
      </c>
      <c r="I155" s="280">
        <v>0</v>
      </c>
      <c r="J155" s="280">
        <v>0</v>
      </c>
      <c r="K155" s="280"/>
      <c r="L155" s="280" t="s">
        <v>740</v>
      </c>
      <c r="M155" s="280" t="s">
        <v>538</v>
      </c>
      <c r="N155" s="280" t="s">
        <v>741</v>
      </c>
      <c r="O155" s="280"/>
      <c r="P155" s="280" t="s">
        <v>1155</v>
      </c>
      <c r="Q155" s="280" t="s">
        <v>1156</v>
      </c>
      <c r="R155" s="280"/>
      <c r="S155" s="280" t="s">
        <v>1157</v>
      </c>
      <c r="T155" s="280" t="s">
        <v>1158</v>
      </c>
      <c r="U155" s="280" t="s">
        <v>30</v>
      </c>
      <c r="V155" s="280" t="s">
        <v>538</v>
      </c>
      <c r="W155" s="280" t="s">
        <v>606</v>
      </c>
      <c r="X155" s="280">
        <f t="shared" si="4"/>
        <v>20</v>
      </c>
    </row>
    <row r="156" spans="1:24" ht="165.75" customHeight="1" x14ac:dyDescent="0.2">
      <c r="A156" s="280" t="s">
        <v>201</v>
      </c>
      <c r="B156" s="280" t="s">
        <v>1159</v>
      </c>
      <c r="C156" s="280">
        <v>0</v>
      </c>
      <c r="D156" s="280">
        <v>0</v>
      </c>
      <c r="E156" s="280">
        <v>0</v>
      </c>
      <c r="F156" s="280">
        <v>1</v>
      </c>
      <c r="G156" s="280">
        <v>0</v>
      </c>
      <c r="H156" s="280">
        <v>0</v>
      </c>
      <c r="I156" s="280">
        <v>0</v>
      </c>
      <c r="J156" s="280">
        <v>1</v>
      </c>
      <c r="K156" s="280"/>
      <c r="L156" s="280" t="s">
        <v>740</v>
      </c>
      <c r="M156" s="280" t="s">
        <v>538</v>
      </c>
      <c r="N156" s="280" t="s">
        <v>741</v>
      </c>
      <c r="O156" s="280"/>
      <c r="P156" s="280" t="s">
        <v>1160</v>
      </c>
      <c r="Q156" s="280" t="s">
        <v>1161</v>
      </c>
      <c r="R156" s="280"/>
      <c r="S156" s="280" t="s">
        <v>1162</v>
      </c>
      <c r="T156" s="280" t="s">
        <v>1163</v>
      </c>
      <c r="U156" s="280" t="s">
        <v>30</v>
      </c>
      <c r="V156" s="280" t="s">
        <v>538</v>
      </c>
      <c r="W156" s="280" t="s">
        <v>555</v>
      </c>
      <c r="X156" s="280">
        <f t="shared" si="4"/>
        <v>10</v>
      </c>
    </row>
    <row r="157" spans="1:24" ht="216" customHeight="1" x14ac:dyDescent="0.2">
      <c r="A157" s="280" t="s">
        <v>202</v>
      </c>
      <c r="B157" s="280" t="s">
        <v>1164</v>
      </c>
      <c r="C157" s="280">
        <v>0</v>
      </c>
      <c r="D157" s="280">
        <v>0</v>
      </c>
      <c r="E157" s="280">
        <v>0</v>
      </c>
      <c r="F157" s="280">
        <v>1</v>
      </c>
      <c r="G157" s="280">
        <v>0</v>
      </c>
      <c r="H157" s="280">
        <v>0</v>
      </c>
      <c r="I157" s="280">
        <v>0</v>
      </c>
      <c r="J157" s="280">
        <v>1</v>
      </c>
      <c r="K157" s="280"/>
      <c r="L157" s="280" t="s">
        <v>740</v>
      </c>
      <c r="M157" s="280" t="s">
        <v>538</v>
      </c>
      <c r="N157" s="280" t="s">
        <v>741</v>
      </c>
      <c r="O157" s="280"/>
      <c r="P157" s="280" t="s">
        <v>1165</v>
      </c>
      <c r="Q157" s="280" t="s">
        <v>1166</v>
      </c>
      <c r="R157" s="280"/>
      <c r="S157" s="280" t="s">
        <v>1167</v>
      </c>
      <c r="T157" s="280" t="s">
        <v>1168</v>
      </c>
      <c r="U157" s="280" t="s">
        <v>30</v>
      </c>
      <c r="V157" s="280" t="s">
        <v>538</v>
      </c>
      <c r="W157" s="280" t="s">
        <v>555</v>
      </c>
      <c r="X157" s="280">
        <f t="shared" si="4"/>
        <v>10</v>
      </c>
    </row>
    <row r="158" spans="1:24" ht="210.75" customHeight="1" x14ac:dyDescent="0.2">
      <c r="A158" s="280" t="s">
        <v>203</v>
      </c>
      <c r="B158" s="280" t="s">
        <v>1169</v>
      </c>
      <c r="C158" s="280">
        <v>0</v>
      </c>
      <c r="D158" s="280">
        <v>0</v>
      </c>
      <c r="E158" s="280">
        <v>0</v>
      </c>
      <c r="F158" s="280">
        <v>1</v>
      </c>
      <c r="G158" s="280">
        <v>0</v>
      </c>
      <c r="H158" s="280">
        <v>0</v>
      </c>
      <c r="I158" s="280">
        <v>0</v>
      </c>
      <c r="J158" s="280">
        <v>0</v>
      </c>
      <c r="K158" s="280"/>
      <c r="L158" s="280" t="s">
        <v>740</v>
      </c>
      <c r="M158" s="280" t="s">
        <v>538</v>
      </c>
      <c r="N158" s="280" t="s">
        <v>741</v>
      </c>
      <c r="O158" s="280"/>
      <c r="P158" s="280" t="s">
        <v>1170</v>
      </c>
      <c r="Q158" s="280" t="s">
        <v>1171</v>
      </c>
      <c r="R158" s="280" t="s">
        <v>732</v>
      </c>
      <c r="S158" s="280" t="s">
        <v>1167</v>
      </c>
      <c r="T158" s="280" t="s">
        <v>1172</v>
      </c>
      <c r="U158" s="280" t="s">
        <v>30</v>
      </c>
      <c r="V158" s="280" t="s">
        <v>538</v>
      </c>
      <c r="W158" s="280" t="s">
        <v>555</v>
      </c>
      <c r="X158" s="280">
        <f t="shared" si="4"/>
        <v>10</v>
      </c>
    </row>
    <row r="159" spans="1:24" ht="175.5" customHeight="1" x14ac:dyDescent="0.2">
      <c r="A159" s="280" t="s">
        <v>204</v>
      </c>
      <c r="B159" s="280" t="s">
        <v>1173</v>
      </c>
      <c r="C159" s="280">
        <v>0</v>
      </c>
      <c r="D159" s="280">
        <v>0</v>
      </c>
      <c r="E159" s="280">
        <v>0</v>
      </c>
      <c r="F159" s="280">
        <v>1</v>
      </c>
      <c r="G159" s="280">
        <v>0</v>
      </c>
      <c r="H159" s="280">
        <v>0</v>
      </c>
      <c r="I159" s="280">
        <v>0</v>
      </c>
      <c r="J159" s="280">
        <v>0</v>
      </c>
      <c r="K159" s="280"/>
      <c r="L159" s="280" t="s">
        <v>740</v>
      </c>
      <c r="M159" s="280" t="s">
        <v>538</v>
      </c>
      <c r="N159" s="280" t="s">
        <v>741</v>
      </c>
      <c r="O159" s="280"/>
      <c r="P159" s="280" t="s">
        <v>1174</v>
      </c>
      <c r="Q159" s="280" t="s">
        <v>1175</v>
      </c>
      <c r="R159" s="280"/>
      <c r="S159" s="280" t="s">
        <v>1176</v>
      </c>
      <c r="T159" s="280" t="s">
        <v>1177</v>
      </c>
      <c r="U159" s="280" t="s">
        <v>30</v>
      </c>
      <c r="V159" s="280" t="s">
        <v>538</v>
      </c>
      <c r="W159" s="280" t="s">
        <v>555</v>
      </c>
      <c r="X159" s="280">
        <f t="shared" si="4"/>
        <v>10</v>
      </c>
    </row>
    <row r="160" spans="1:24" ht="192.75" customHeight="1" x14ac:dyDescent="0.2">
      <c r="A160" s="280" t="s">
        <v>205</v>
      </c>
      <c r="B160" s="280" t="s">
        <v>1178</v>
      </c>
      <c r="C160" s="280">
        <v>0</v>
      </c>
      <c r="D160" s="280">
        <v>0</v>
      </c>
      <c r="E160" s="280">
        <v>0</v>
      </c>
      <c r="F160" s="280">
        <v>1</v>
      </c>
      <c r="G160" s="280">
        <v>0</v>
      </c>
      <c r="H160" s="280">
        <v>0</v>
      </c>
      <c r="I160" s="280">
        <v>0</v>
      </c>
      <c r="J160" s="280">
        <v>0</v>
      </c>
      <c r="K160" s="280"/>
      <c r="L160" s="280" t="s">
        <v>469</v>
      </c>
      <c r="M160" s="280" t="s">
        <v>538</v>
      </c>
      <c r="N160" s="280" t="s">
        <v>741</v>
      </c>
      <c r="O160" s="280" t="s">
        <v>1179</v>
      </c>
      <c r="P160" s="280" t="s">
        <v>1179</v>
      </c>
      <c r="Q160" s="280" t="s">
        <v>1179</v>
      </c>
      <c r="R160" s="280"/>
      <c r="S160" s="280" t="s">
        <v>1180</v>
      </c>
      <c r="T160" s="280" t="s">
        <v>1181</v>
      </c>
      <c r="U160" s="280" t="s">
        <v>469</v>
      </c>
      <c r="V160" s="280" t="s">
        <v>538</v>
      </c>
      <c r="W160" s="280"/>
      <c r="X160" s="280"/>
    </row>
    <row r="161" spans="1:24" ht="168" customHeight="1" x14ac:dyDescent="0.2">
      <c r="A161" s="280" t="s">
        <v>206</v>
      </c>
      <c r="B161" s="280" t="s">
        <v>1182</v>
      </c>
      <c r="C161" s="280">
        <v>0</v>
      </c>
      <c r="D161" s="280">
        <v>0</v>
      </c>
      <c r="E161" s="280">
        <v>0</v>
      </c>
      <c r="F161" s="280">
        <v>1</v>
      </c>
      <c r="G161" s="280">
        <v>0</v>
      </c>
      <c r="H161" s="280">
        <v>0</v>
      </c>
      <c r="I161" s="280">
        <v>0</v>
      </c>
      <c r="J161" s="280">
        <v>1</v>
      </c>
      <c r="K161" s="280"/>
      <c r="L161" s="280" t="s">
        <v>740</v>
      </c>
      <c r="M161" s="280" t="s">
        <v>538</v>
      </c>
      <c r="N161" s="280" t="s">
        <v>741</v>
      </c>
      <c r="O161" s="280"/>
      <c r="P161" s="280" t="s">
        <v>1183</v>
      </c>
      <c r="Q161" s="280" t="s">
        <v>1184</v>
      </c>
      <c r="R161" s="280"/>
      <c r="S161" s="280" t="s">
        <v>1185</v>
      </c>
      <c r="T161" s="280" t="s">
        <v>1186</v>
      </c>
      <c r="U161" s="280" t="s">
        <v>30</v>
      </c>
      <c r="V161" s="280" t="s">
        <v>538</v>
      </c>
      <c r="W161" s="280" t="s">
        <v>564</v>
      </c>
      <c r="X161" s="280">
        <f t="shared" ref="X161:X192" si="5">IF($W161="Critical Importance",20,IF($W161="Minor Importance",5,10))</f>
        <v>5</v>
      </c>
    </row>
    <row r="162" spans="1:24" ht="168" customHeight="1" x14ac:dyDescent="0.2">
      <c r="A162" s="281" t="s">
        <v>101</v>
      </c>
      <c r="B162" s="281" t="s">
        <v>1187</v>
      </c>
      <c r="C162" s="280">
        <v>0</v>
      </c>
      <c r="D162" s="280">
        <v>1</v>
      </c>
      <c r="E162" s="280">
        <v>0</v>
      </c>
      <c r="F162" s="280">
        <v>0</v>
      </c>
      <c r="G162" s="280">
        <v>0</v>
      </c>
      <c r="H162" s="280">
        <v>0</v>
      </c>
      <c r="I162" s="280">
        <v>0</v>
      </c>
      <c r="J162" s="280">
        <v>0</v>
      </c>
      <c r="K162" s="280"/>
      <c r="L162" s="280" t="s">
        <v>604</v>
      </c>
      <c r="M162" s="280" t="s">
        <v>538</v>
      </c>
      <c r="N162" s="280"/>
      <c r="O162" s="280"/>
      <c r="P162" s="280"/>
      <c r="Q162" s="280"/>
      <c r="R162" s="280"/>
      <c r="S162" s="280" t="s">
        <v>1188</v>
      </c>
      <c r="T162" s="280" t="s">
        <v>1189</v>
      </c>
      <c r="U162" s="280" t="s">
        <v>30</v>
      </c>
      <c r="V162" s="280" t="s">
        <v>538</v>
      </c>
      <c r="W162" s="280" t="s">
        <v>606</v>
      </c>
      <c r="X162" s="280">
        <f t="shared" si="5"/>
        <v>20</v>
      </c>
    </row>
    <row r="163" spans="1:24" ht="111.75" customHeight="1" x14ac:dyDescent="0.2">
      <c r="A163" s="281" t="s">
        <v>103</v>
      </c>
      <c r="B163" s="281" t="s">
        <v>1190</v>
      </c>
      <c r="C163" s="280">
        <v>0</v>
      </c>
      <c r="D163" s="280">
        <v>1</v>
      </c>
      <c r="E163" s="280">
        <v>0</v>
      </c>
      <c r="F163" s="280">
        <v>0</v>
      </c>
      <c r="G163" s="280">
        <v>0</v>
      </c>
      <c r="H163" s="280">
        <v>0</v>
      </c>
      <c r="I163" s="280">
        <v>0</v>
      </c>
      <c r="J163" s="280">
        <v>0</v>
      </c>
      <c r="K163" s="280"/>
      <c r="L163" s="280" t="s">
        <v>604</v>
      </c>
      <c r="M163" s="280" t="s">
        <v>538</v>
      </c>
      <c r="N163" s="280"/>
      <c r="O163" s="280"/>
      <c r="P163" s="280" t="s">
        <v>1191</v>
      </c>
      <c r="Q163" s="280" t="s">
        <v>1192</v>
      </c>
      <c r="R163" s="280"/>
      <c r="S163" s="280" t="s">
        <v>1193</v>
      </c>
      <c r="T163" s="280" t="s">
        <v>1194</v>
      </c>
      <c r="U163" s="280" t="s">
        <v>30</v>
      </c>
      <c r="V163" s="280" t="s">
        <v>538</v>
      </c>
      <c r="W163" s="280" t="s">
        <v>606</v>
      </c>
      <c r="X163" s="280">
        <f t="shared" si="5"/>
        <v>20</v>
      </c>
    </row>
    <row r="164" spans="1:24" ht="111.75" customHeight="1" x14ac:dyDescent="0.2">
      <c r="A164" s="281" t="s">
        <v>105</v>
      </c>
      <c r="B164" s="281" t="s">
        <v>1195</v>
      </c>
      <c r="C164" s="280">
        <v>0</v>
      </c>
      <c r="D164" s="280">
        <v>1</v>
      </c>
      <c r="E164" s="280">
        <v>0</v>
      </c>
      <c r="F164" s="280">
        <v>0</v>
      </c>
      <c r="G164" s="280">
        <v>0</v>
      </c>
      <c r="H164" s="280">
        <v>0</v>
      </c>
      <c r="I164" s="280">
        <v>0</v>
      </c>
      <c r="J164" s="280">
        <v>0</v>
      </c>
      <c r="K164" s="280"/>
      <c r="L164" s="280" t="s">
        <v>604</v>
      </c>
      <c r="M164" s="280" t="s">
        <v>538</v>
      </c>
      <c r="N164" s="280"/>
      <c r="O164" s="280" t="s">
        <v>1196</v>
      </c>
      <c r="P164" s="280" t="s">
        <v>1196</v>
      </c>
      <c r="Q164" s="280" t="s">
        <v>1196</v>
      </c>
      <c r="R164" s="280"/>
      <c r="S164" s="280" t="s">
        <v>1197</v>
      </c>
      <c r="T164" s="280" t="s">
        <v>1198</v>
      </c>
      <c r="U164" s="280" t="s">
        <v>30</v>
      </c>
      <c r="V164" s="280" t="s">
        <v>538</v>
      </c>
      <c r="W164" s="280" t="s">
        <v>606</v>
      </c>
      <c r="X164" s="280">
        <f t="shared" si="5"/>
        <v>20</v>
      </c>
    </row>
    <row r="165" spans="1:24" ht="168" customHeight="1" x14ac:dyDescent="0.2">
      <c r="A165" s="280" t="s">
        <v>107</v>
      </c>
      <c r="B165" s="280" t="s">
        <v>1199</v>
      </c>
      <c r="C165" s="280">
        <v>0</v>
      </c>
      <c r="D165" s="280">
        <v>1</v>
      </c>
      <c r="E165" s="280">
        <v>0</v>
      </c>
      <c r="F165" s="280">
        <v>0</v>
      </c>
      <c r="G165" s="280">
        <v>0</v>
      </c>
      <c r="H165" s="280">
        <v>0</v>
      </c>
      <c r="I165" s="280">
        <v>0</v>
      </c>
      <c r="J165" s="280">
        <v>0</v>
      </c>
      <c r="K165" s="280"/>
      <c r="L165" s="280" t="s">
        <v>604</v>
      </c>
      <c r="M165" s="280" t="s">
        <v>538</v>
      </c>
      <c r="N165" s="280"/>
      <c r="O165" s="280"/>
      <c r="P165" s="280"/>
      <c r="Q165" s="280"/>
      <c r="R165" s="280"/>
      <c r="S165" s="280" t="s">
        <v>987</v>
      </c>
      <c r="T165" s="280" t="s">
        <v>988</v>
      </c>
      <c r="U165" s="280" t="s">
        <v>30</v>
      </c>
      <c r="V165" s="280" t="s">
        <v>538</v>
      </c>
      <c r="W165" s="280" t="s">
        <v>555</v>
      </c>
      <c r="X165" s="280">
        <f t="shared" si="5"/>
        <v>10</v>
      </c>
    </row>
    <row r="166" spans="1:24" ht="195.75" customHeight="1" x14ac:dyDescent="0.2">
      <c r="A166" s="280" t="s">
        <v>109</v>
      </c>
      <c r="B166" s="280" t="s">
        <v>1200</v>
      </c>
      <c r="C166" s="280">
        <v>0</v>
      </c>
      <c r="D166" s="280">
        <v>1</v>
      </c>
      <c r="E166" s="280">
        <v>0</v>
      </c>
      <c r="F166" s="280">
        <v>0</v>
      </c>
      <c r="G166" s="280">
        <v>0</v>
      </c>
      <c r="H166" s="280">
        <v>0</v>
      </c>
      <c r="I166" s="280">
        <v>0</v>
      </c>
      <c r="J166" s="280">
        <v>1</v>
      </c>
      <c r="K166" s="280"/>
      <c r="L166" s="280" t="s">
        <v>604</v>
      </c>
      <c r="M166" s="280" t="s">
        <v>538</v>
      </c>
      <c r="N166" s="280"/>
      <c r="O166" s="280"/>
      <c r="P166" s="280" t="s">
        <v>1201</v>
      </c>
      <c r="Q166" s="280" t="s">
        <v>1202</v>
      </c>
      <c r="R166" s="280"/>
      <c r="S166" s="280" t="s">
        <v>1203</v>
      </c>
      <c r="T166" s="280" t="s">
        <v>1204</v>
      </c>
      <c r="U166" s="280" t="s">
        <v>30</v>
      </c>
      <c r="V166" s="280" t="s">
        <v>538</v>
      </c>
      <c r="W166" s="280" t="s">
        <v>555</v>
      </c>
      <c r="X166" s="280">
        <f t="shared" si="5"/>
        <v>10</v>
      </c>
    </row>
    <row r="167" spans="1:24" ht="196.5" customHeight="1" x14ac:dyDescent="0.2">
      <c r="A167" s="280" t="s">
        <v>110</v>
      </c>
      <c r="B167" s="280" t="s">
        <v>1205</v>
      </c>
      <c r="C167" s="280">
        <v>0</v>
      </c>
      <c r="D167" s="280">
        <v>1</v>
      </c>
      <c r="E167" s="280">
        <v>0</v>
      </c>
      <c r="F167" s="280">
        <v>0</v>
      </c>
      <c r="G167" s="280">
        <v>0</v>
      </c>
      <c r="H167" s="280">
        <v>0</v>
      </c>
      <c r="I167" s="280">
        <v>0</v>
      </c>
      <c r="J167" s="280">
        <v>0</v>
      </c>
      <c r="K167" s="280"/>
      <c r="L167" s="280" t="s">
        <v>604</v>
      </c>
      <c r="M167" s="280" t="s">
        <v>538</v>
      </c>
      <c r="N167" s="280"/>
      <c r="O167" s="280"/>
      <c r="P167" s="280" t="s">
        <v>1206</v>
      </c>
      <c r="Q167" s="280" t="s">
        <v>1207</v>
      </c>
      <c r="R167" s="280"/>
      <c r="S167" s="280" t="s">
        <v>1208</v>
      </c>
      <c r="T167" s="280" t="s">
        <v>1209</v>
      </c>
      <c r="U167" s="280" t="s">
        <v>30</v>
      </c>
      <c r="V167" s="280" t="s">
        <v>538</v>
      </c>
      <c r="W167" s="280" t="s">
        <v>555</v>
      </c>
      <c r="X167" s="280">
        <f t="shared" si="5"/>
        <v>10</v>
      </c>
    </row>
    <row r="168" spans="1:24" ht="153.75" customHeight="1" x14ac:dyDescent="0.2">
      <c r="A168" s="280" t="s">
        <v>111</v>
      </c>
      <c r="B168" s="280" t="s">
        <v>1210</v>
      </c>
      <c r="C168" s="280">
        <v>0</v>
      </c>
      <c r="D168" s="280">
        <v>1</v>
      </c>
      <c r="E168" s="280">
        <v>0</v>
      </c>
      <c r="F168" s="280">
        <v>0</v>
      </c>
      <c r="G168" s="280">
        <v>0</v>
      </c>
      <c r="H168" s="280">
        <v>0</v>
      </c>
      <c r="I168" s="280">
        <v>0</v>
      </c>
      <c r="J168" s="280">
        <v>0</v>
      </c>
      <c r="K168" s="280"/>
      <c r="L168" s="280" t="s">
        <v>604</v>
      </c>
      <c r="M168" s="280" t="s">
        <v>538</v>
      </c>
      <c r="N168" s="280"/>
      <c r="O168" s="280"/>
      <c r="P168" s="280" t="s">
        <v>1211</v>
      </c>
      <c r="Q168" s="280" t="s">
        <v>1212</v>
      </c>
      <c r="R168" s="280"/>
      <c r="S168" s="280" t="s">
        <v>1213</v>
      </c>
      <c r="T168" s="280" t="s">
        <v>1214</v>
      </c>
      <c r="U168" s="280" t="s">
        <v>30</v>
      </c>
      <c r="V168" s="280" t="s">
        <v>538</v>
      </c>
      <c r="W168" s="280" t="s">
        <v>555</v>
      </c>
      <c r="X168" s="280">
        <f t="shared" si="5"/>
        <v>10</v>
      </c>
    </row>
    <row r="169" spans="1:24" ht="409.5" customHeight="1" x14ac:dyDescent="0.2">
      <c r="A169" s="280" t="s">
        <v>112</v>
      </c>
      <c r="B169" s="280" t="s">
        <v>1215</v>
      </c>
      <c r="C169" s="280">
        <v>0</v>
      </c>
      <c r="D169" s="280">
        <v>1</v>
      </c>
      <c r="E169" s="280">
        <v>0</v>
      </c>
      <c r="F169" s="280">
        <v>0</v>
      </c>
      <c r="G169" s="280">
        <v>0</v>
      </c>
      <c r="H169" s="280">
        <v>0</v>
      </c>
      <c r="I169" s="280">
        <v>0</v>
      </c>
      <c r="J169" s="280">
        <v>1</v>
      </c>
      <c r="K169" s="280"/>
      <c r="L169" s="280" t="s">
        <v>604</v>
      </c>
      <c r="M169" s="280" t="s">
        <v>538</v>
      </c>
      <c r="N169" s="280"/>
      <c r="O169" s="280"/>
      <c r="P169" s="280" t="s">
        <v>1216</v>
      </c>
      <c r="Q169" s="280" t="s">
        <v>1217</v>
      </c>
      <c r="R169" s="280"/>
      <c r="S169" s="280" t="s">
        <v>1218</v>
      </c>
      <c r="T169" s="280" t="s">
        <v>1219</v>
      </c>
      <c r="U169" s="280" t="s">
        <v>30</v>
      </c>
      <c r="V169" s="280" t="s">
        <v>538</v>
      </c>
      <c r="W169" s="280" t="s">
        <v>555</v>
      </c>
      <c r="X169" s="280">
        <f t="shared" si="5"/>
        <v>10</v>
      </c>
    </row>
    <row r="170" spans="1:24" ht="181.5" customHeight="1" x14ac:dyDescent="0.2">
      <c r="A170" s="280" t="s">
        <v>113</v>
      </c>
      <c r="B170" s="280" t="s">
        <v>1220</v>
      </c>
      <c r="C170" s="280">
        <v>0</v>
      </c>
      <c r="D170" s="280">
        <v>1</v>
      </c>
      <c r="E170" s="280">
        <v>0</v>
      </c>
      <c r="F170" s="280">
        <v>0</v>
      </c>
      <c r="G170" s="280">
        <v>0</v>
      </c>
      <c r="H170" s="280">
        <v>0</v>
      </c>
      <c r="I170" s="280">
        <v>0</v>
      </c>
      <c r="J170" s="280">
        <v>1</v>
      </c>
      <c r="K170" s="280"/>
      <c r="L170" s="280" t="s">
        <v>604</v>
      </c>
      <c r="M170" s="280" t="s">
        <v>538</v>
      </c>
      <c r="N170" s="280"/>
      <c r="O170" s="280"/>
      <c r="P170" s="280" t="s">
        <v>1221</v>
      </c>
      <c r="Q170" s="280" t="s">
        <v>1222</v>
      </c>
      <c r="R170" s="280"/>
      <c r="S170" s="280" t="s">
        <v>796</v>
      </c>
      <c r="T170" s="280" t="s">
        <v>797</v>
      </c>
      <c r="U170" s="280" t="s">
        <v>30</v>
      </c>
      <c r="V170" s="280" t="s">
        <v>538</v>
      </c>
      <c r="W170" s="280" t="s">
        <v>564</v>
      </c>
      <c r="X170" s="280">
        <f t="shared" si="5"/>
        <v>5</v>
      </c>
    </row>
    <row r="171" spans="1:24" ht="111.75" customHeight="1" x14ac:dyDescent="0.2">
      <c r="A171" s="280" t="s">
        <v>115</v>
      </c>
      <c r="B171" s="280" t="s">
        <v>1223</v>
      </c>
      <c r="C171" s="280">
        <v>0</v>
      </c>
      <c r="D171" s="280">
        <v>1</v>
      </c>
      <c r="E171" s="280">
        <v>0</v>
      </c>
      <c r="F171" s="280">
        <v>0</v>
      </c>
      <c r="G171" s="280">
        <v>0</v>
      </c>
      <c r="H171" s="280">
        <v>0</v>
      </c>
      <c r="I171" s="280">
        <v>0</v>
      </c>
      <c r="J171" s="280">
        <v>0</v>
      </c>
      <c r="K171" s="280"/>
      <c r="L171" s="280" t="s">
        <v>604</v>
      </c>
      <c r="M171" s="280" t="s">
        <v>538</v>
      </c>
      <c r="N171" s="280"/>
      <c r="O171" s="280"/>
      <c r="P171" s="280" t="s">
        <v>1224</v>
      </c>
      <c r="Q171" s="280" t="s">
        <v>1225</v>
      </c>
      <c r="R171" s="280"/>
      <c r="S171" s="280" t="s">
        <v>1197</v>
      </c>
      <c r="T171" s="280" t="s">
        <v>1198</v>
      </c>
      <c r="U171" s="280" t="s">
        <v>30</v>
      </c>
      <c r="V171" s="280" t="s">
        <v>538</v>
      </c>
      <c r="W171" s="280" t="s">
        <v>564</v>
      </c>
      <c r="X171" s="280">
        <f t="shared" si="5"/>
        <v>5</v>
      </c>
    </row>
    <row r="172" spans="1:24" ht="240" customHeight="1" x14ac:dyDescent="0.2">
      <c r="A172" s="280" t="s">
        <v>117</v>
      </c>
      <c r="B172" s="280" t="s">
        <v>1226</v>
      </c>
      <c r="C172" s="280">
        <v>0</v>
      </c>
      <c r="D172" s="280">
        <v>1</v>
      </c>
      <c r="E172" s="280">
        <v>0</v>
      </c>
      <c r="F172" s="280">
        <v>0</v>
      </c>
      <c r="G172" s="280">
        <v>0</v>
      </c>
      <c r="H172" s="280">
        <v>0</v>
      </c>
      <c r="I172" s="280">
        <v>0</v>
      </c>
      <c r="J172" s="280">
        <v>1</v>
      </c>
      <c r="K172" s="280"/>
      <c r="L172" s="280" t="s">
        <v>604</v>
      </c>
      <c r="M172" s="280" t="s">
        <v>538</v>
      </c>
      <c r="N172" s="280"/>
      <c r="O172" s="280"/>
      <c r="P172" s="280" t="s">
        <v>1227</v>
      </c>
      <c r="Q172" s="280" t="s">
        <v>1228</v>
      </c>
      <c r="R172" s="280"/>
      <c r="S172" s="280" t="s">
        <v>1229</v>
      </c>
      <c r="T172" s="280" t="s">
        <v>1230</v>
      </c>
      <c r="U172" s="280" t="s">
        <v>30</v>
      </c>
      <c r="V172" s="280" t="s">
        <v>538</v>
      </c>
      <c r="W172" s="280" t="s">
        <v>564</v>
      </c>
      <c r="X172" s="280">
        <f t="shared" si="5"/>
        <v>5</v>
      </c>
    </row>
    <row r="173" spans="1:24" ht="243" customHeight="1" x14ac:dyDescent="0.2">
      <c r="A173" s="280" t="s">
        <v>118</v>
      </c>
      <c r="B173" s="280" t="s">
        <v>1231</v>
      </c>
      <c r="C173" s="280">
        <v>0</v>
      </c>
      <c r="D173" s="280">
        <v>1</v>
      </c>
      <c r="E173" s="280">
        <v>0</v>
      </c>
      <c r="F173" s="280">
        <v>0</v>
      </c>
      <c r="G173" s="280">
        <v>0</v>
      </c>
      <c r="H173" s="280">
        <v>0</v>
      </c>
      <c r="I173" s="280">
        <v>0</v>
      </c>
      <c r="J173" s="280">
        <v>1</v>
      </c>
      <c r="K173" s="280"/>
      <c r="L173" s="280" t="s">
        <v>604</v>
      </c>
      <c r="M173" s="280" t="s">
        <v>538</v>
      </c>
      <c r="N173" s="280"/>
      <c r="O173" s="280"/>
      <c r="P173" s="280" t="s">
        <v>1232</v>
      </c>
      <c r="Q173" s="280" t="s">
        <v>1233</v>
      </c>
      <c r="R173" s="280"/>
      <c r="S173" s="280" t="s">
        <v>1229</v>
      </c>
      <c r="T173" s="280" t="s">
        <v>1230</v>
      </c>
      <c r="U173" s="280" t="s">
        <v>30</v>
      </c>
      <c r="V173" s="280" t="s">
        <v>538</v>
      </c>
      <c r="W173" s="280" t="s">
        <v>564</v>
      </c>
      <c r="X173" s="280">
        <f t="shared" si="5"/>
        <v>5</v>
      </c>
    </row>
    <row r="174" spans="1:24" ht="181.5" customHeight="1" x14ac:dyDescent="0.2">
      <c r="A174" s="280" t="s">
        <v>119</v>
      </c>
      <c r="B174" s="280" t="s">
        <v>1234</v>
      </c>
      <c r="C174" s="280">
        <v>0</v>
      </c>
      <c r="D174" s="280">
        <v>1</v>
      </c>
      <c r="E174" s="280">
        <v>0</v>
      </c>
      <c r="F174" s="280">
        <v>0</v>
      </c>
      <c r="G174" s="280">
        <v>0</v>
      </c>
      <c r="H174" s="280">
        <v>0</v>
      </c>
      <c r="I174" s="280">
        <v>0</v>
      </c>
      <c r="J174" s="280">
        <v>0</v>
      </c>
      <c r="K174" s="280"/>
      <c r="L174" s="280" t="s">
        <v>604</v>
      </c>
      <c r="M174" s="280" t="s">
        <v>538</v>
      </c>
      <c r="N174" s="280"/>
      <c r="O174" s="280"/>
      <c r="P174" s="280" t="s">
        <v>1235</v>
      </c>
      <c r="Q174" s="280" t="s">
        <v>1236</v>
      </c>
      <c r="R174" s="280"/>
      <c r="S174" s="280" t="s">
        <v>1237</v>
      </c>
      <c r="T174" s="280" t="s">
        <v>1238</v>
      </c>
      <c r="U174" s="280" t="s">
        <v>30</v>
      </c>
      <c r="V174" s="280" t="s">
        <v>538</v>
      </c>
      <c r="W174" s="280" t="s">
        <v>564</v>
      </c>
      <c r="X174" s="280">
        <f t="shared" si="5"/>
        <v>5</v>
      </c>
    </row>
    <row r="175" spans="1:24" ht="206.25" customHeight="1" x14ac:dyDescent="0.2">
      <c r="A175" s="280" t="s">
        <v>120</v>
      </c>
      <c r="B175" s="280" t="s">
        <v>1239</v>
      </c>
      <c r="C175" s="280">
        <v>0</v>
      </c>
      <c r="D175" s="280">
        <v>1</v>
      </c>
      <c r="E175" s="280">
        <v>0</v>
      </c>
      <c r="F175" s="280">
        <v>0</v>
      </c>
      <c r="G175" s="280">
        <v>0</v>
      </c>
      <c r="H175" s="280">
        <v>0</v>
      </c>
      <c r="I175" s="280">
        <v>0</v>
      </c>
      <c r="J175" s="280">
        <v>1</v>
      </c>
      <c r="K175" s="280"/>
      <c r="L175" s="280" t="s">
        <v>604</v>
      </c>
      <c r="M175" s="280" t="s">
        <v>538</v>
      </c>
      <c r="N175" s="280"/>
      <c r="O175" s="280"/>
      <c r="P175" s="280" t="s">
        <v>1240</v>
      </c>
      <c r="Q175" s="280" t="s">
        <v>1241</v>
      </c>
      <c r="R175" s="280"/>
      <c r="S175" s="280" t="s">
        <v>1242</v>
      </c>
      <c r="T175" s="280" t="s">
        <v>1243</v>
      </c>
      <c r="U175" s="280" t="s">
        <v>30</v>
      </c>
      <c r="V175" s="280" t="s">
        <v>538</v>
      </c>
      <c r="W175" s="280" t="s">
        <v>564</v>
      </c>
      <c r="X175" s="280">
        <f t="shared" si="5"/>
        <v>5</v>
      </c>
    </row>
    <row r="176" spans="1:24" ht="127.5" customHeight="1" x14ac:dyDescent="0.2">
      <c r="A176" s="280" t="s">
        <v>121</v>
      </c>
      <c r="B176" s="280" t="s">
        <v>1244</v>
      </c>
      <c r="C176" s="280">
        <v>0</v>
      </c>
      <c r="D176" s="280">
        <v>1</v>
      </c>
      <c r="E176" s="280">
        <v>0</v>
      </c>
      <c r="F176" s="280">
        <v>0</v>
      </c>
      <c r="G176" s="280">
        <v>0</v>
      </c>
      <c r="H176" s="280">
        <v>0</v>
      </c>
      <c r="I176" s="280">
        <v>0</v>
      </c>
      <c r="J176" s="280">
        <v>1</v>
      </c>
      <c r="K176" s="280"/>
      <c r="L176" s="280" t="s">
        <v>604</v>
      </c>
      <c r="M176" s="280" t="s">
        <v>538</v>
      </c>
      <c r="N176" s="280"/>
      <c r="O176" s="280"/>
      <c r="P176" s="280" t="s">
        <v>1245</v>
      </c>
      <c r="Q176" s="280" t="s">
        <v>1246</v>
      </c>
      <c r="R176" s="284" t="s">
        <v>704</v>
      </c>
      <c r="S176" s="280" t="s">
        <v>1247</v>
      </c>
      <c r="T176" s="280" t="s">
        <v>1248</v>
      </c>
      <c r="U176" s="280" t="s">
        <v>30</v>
      </c>
      <c r="V176" s="280" t="s">
        <v>538</v>
      </c>
      <c r="W176" s="280" t="s">
        <v>564</v>
      </c>
      <c r="X176" s="280">
        <f t="shared" si="5"/>
        <v>5</v>
      </c>
    </row>
    <row r="177" spans="1:24" ht="265.5" customHeight="1" x14ac:dyDescent="0.2">
      <c r="A177" s="280" t="s">
        <v>207</v>
      </c>
      <c r="B177" s="280" t="s">
        <v>1249</v>
      </c>
      <c r="C177" s="280">
        <v>0</v>
      </c>
      <c r="D177" s="280">
        <v>0</v>
      </c>
      <c r="E177" s="280">
        <v>0</v>
      </c>
      <c r="F177" s="280">
        <v>1</v>
      </c>
      <c r="G177" s="280">
        <v>0</v>
      </c>
      <c r="H177" s="280">
        <v>0</v>
      </c>
      <c r="I177" s="280">
        <v>0</v>
      </c>
      <c r="J177" s="280">
        <v>1</v>
      </c>
      <c r="K177" s="280"/>
      <c r="L177" s="280" t="s">
        <v>740</v>
      </c>
      <c r="M177" s="280" t="s">
        <v>538</v>
      </c>
      <c r="N177" s="280" t="s">
        <v>741</v>
      </c>
      <c r="O177" s="280"/>
      <c r="P177" s="280" t="s">
        <v>1250</v>
      </c>
      <c r="Q177" s="280" t="s">
        <v>1251</v>
      </c>
      <c r="R177" s="280"/>
      <c r="S177" s="280" t="s">
        <v>1252</v>
      </c>
      <c r="T177" s="280" t="s">
        <v>1253</v>
      </c>
      <c r="U177" s="280" t="s">
        <v>30</v>
      </c>
      <c r="V177" s="280" t="s">
        <v>538</v>
      </c>
      <c r="W177" s="280" t="s">
        <v>555</v>
      </c>
      <c r="X177" s="280">
        <f t="shared" si="5"/>
        <v>10</v>
      </c>
    </row>
    <row r="178" spans="1:24" ht="221.25" customHeight="1" x14ac:dyDescent="0.2">
      <c r="A178" s="280" t="s">
        <v>208</v>
      </c>
      <c r="B178" s="280" t="s">
        <v>1254</v>
      </c>
      <c r="C178" s="280">
        <v>0</v>
      </c>
      <c r="D178" s="280">
        <v>0</v>
      </c>
      <c r="E178" s="280">
        <v>0</v>
      </c>
      <c r="F178" s="280">
        <v>1</v>
      </c>
      <c r="G178" s="280">
        <v>0</v>
      </c>
      <c r="H178" s="280">
        <v>0</v>
      </c>
      <c r="I178" s="280">
        <v>0</v>
      </c>
      <c r="J178" s="280">
        <v>1</v>
      </c>
      <c r="K178" s="280"/>
      <c r="L178" s="280" t="s">
        <v>740</v>
      </c>
      <c r="M178" s="280" t="s">
        <v>538</v>
      </c>
      <c r="N178" s="280" t="s">
        <v>741</v>
      </c>
      <c r="O178" s="280"/>
      <c r="P178" s="280" t="s">
        <v>1255</v>
      </c>
      <c r="Q178" s="280" t="s">
        <v>1256</v>
      </c>
      <c r="R178" s="280"/>
      <c r="S178" s="280" t="s">
        <v>1257</v>
      </c>
      <c r="T178" s="280" t="s">
        <v>1253</v>
      </c>
      <c r="U178" s="280" t="s">
        <v>30</v>
      </c>
      <c r="V178" s="280" t="s">
        <v>538</v>
      </c>
      <c r="W178" s="280" t="s">
        <v>564</v>
      </c>
      <c r="X178" s="280">
        <f t="shared" si="5"/>
        <v>5</v>
      </c>
    </row>
    <row r="179" spans="1:24" ht="153.75" customHeight="1" x14ac:dyDescent="0.2">
      <c r="A179" s="280" t="s">
        <v>209</v>
      </c>
      <c r="B179" s="280" t="s">
        <v>1258</v>
      </c>
      <c r="C179" s="280">
        <v>0</v>
      </c>
      <c r="D179" s="280">
        <v>0</v>
      </c>
      <c r="E179" s="280">
        <v>0</v>
      </c>
      <c r="F179" s="280">
        <v>1</v>
      </c>
      <c r="G179" s="280">
        <v>0</v>
      </c>
      <c r="H179" s="280">
        <v>0</v>
      </c>
      <c r="I179" s="280">
        <v>0</v>
      </c>
      <c r="J179" s="280">
        <v>1</v>
      </c>
      <c r="K179" s="280"/>
      <c r="L179" s="280" t="s">
        <v>740</v>
      </c>
      <c r="M179" s="280" t="s">
        <v>538</v>
      </c>
      <c r="N179" s="280" t="s">
        <v>741</v>
      </c>
      <c r="O179" s="280"/>
      <c r="P179" s="280" t="s">
        <v>1259</v>
      </c>
      <c r="Q179" s="280" t="s">
        <v>1260</v>
      </c>
      <c r="R179" s="280"/>
      <c r="S179" s="280" t="s">
        <v>1261</v>
      </c>
      <c r="T179" s="280" t="s">
        <v>1262</v>
      </c>
      <c r="U179" s="280" t="s">
        <v>30</v>
      </c>
      <c r="V179" s="280" t="s">
        <v>538</v>
      </c>
      <c r="W179" s="280" t="s">
        <v>564</v>
      </c>
      <c r="X179" s="280">
        <f t="shared" si="5"/>
        <v>5</v>
      </c>
    </row>
    <row r="180" spans="1:24" ht="237.75" customHeight="1" x14ac:dyDescent="0.2">
      <c r="A180" s="280" t="s">
        <v>210</v>
      </c>
      <c r="B180" s="280" t="s">
        <v>1263</v>
      </c>
      <c r="C180" s="280">
        <v>0</v>
      </c>
      <c r="D180" s="280">
        <v>0</v>
      </c>
      <c r="E180" s="280">
        <v>0</v>
      </c>
      <c r="F180" s="280">
        <v>1</v>
      </c>
      <c r="G180" s="280">
        <v>0</v>
      </c>
      <c r="H180" s="280">
        <v>0</v>
      </c>
      <c r="I180" s="280">
        <v>0</v>
      </c>
      <c r="J180" s="280">
        <v>1</v>
      </c>
      <c r="K180" s="280"/>
      <c r="L180" s="280" t="s">
        <v>740</v>
      </c>
      <c r="M180" s="280"/>
      <c r="N180" s="280" t="s">
        <v>741</v>
      </c>
      <c r="O180" s="280"/>
      <c r="P180" s="280" t="s">
        <v>1264</v>
      </c>
      <c r="Q180" s="280" t="s">
        <v>1265</v>
      </c>
      <c r="R180" s="280"/>
      <c r="S180" s="280" t="s">
        <v>1266</v>
      </c>
      <c r="T180" s="280" t="s">
        <v>1219</v>
      </c>
      <c r="U180" s="280" t="s">
        <v>30</v>
      </c>
      <c r="V180" s="280"/>
      <c r="W180" s="280" t="s">
        <v>564</v>
      </c>
      <c r="X180" s="280">
        <f t="shared" si="5"/>
        <v>5</v>
      </c>
    </row>
    <row r="181" spans="1:24" ht="224.25" customHeight="1" x14ac:dyDescent="0.2">
      <c r="A181" s="281" t="s">
        <v>211</v>
      </c>
      <c r="B181" s="281" t="s">
        <v>1267</v>
      </c>
      <c r="C181" s="280">
        <v>0</v>
      </c>
      <c r="D181" s="280">
        <v>0</v>
      </c>
      <c r="E181" s="280">
        <v>0</v>
      </c>
      <c r="F181" s="280">
        <v>1</v>
      </c>
      <c r="G181" s="280">
        <v>0</v>
      </c>
      <c r="H181" s="280">
        <v>0</v>
      </c>
      <c r="I181" s="280">
        <v>0</v>
      </c>
      <c r="J181" s="280">
        <v>0</v>
      </c>
      <c r="K181" s="280"/>
      <c r="L181" s="280" t="s">
        <v>740</v>
      </c>
      <c r="M181" s="280" t="s">
        <v>538</v>
      </c>
      <c r="N181" s="280" t="s">
        <v>741</v>
      </c>
      <c r="O181" s="280"/>
      <c r="P181" s="280" t="s">
        <v>1268</v>
      </c>
      <c r="Q181" s="280" t="s">
        <v>1269</v>
      </c>
      <c r="R181" s="280"/>
      <c r="S181" s="280" t="s">
        <v>1270</v>
      </c>
      <c r="T181" s="280" t="s">
        <v>1271</v>
      </c>
      <c r="U181" s="280" t="s">
        <v>30</v>
      </c>
      <c r="V181" s="280" t="s">
        <v>538</v>
      </c>
      <c r="W181" s="280" t="s">
        <v>606</v>
      </c>
      <c r="X181" s="280">
        <f t="shared" si="5"/>
        <v>20</v>
      </c>
    </row>
    <row r="182" spans="1:24" ht="126" customHeight="1" x14ac:dyDescent="0.2">
      <c r="A182" s="281" t="s">
        <v>212</v>
      </c>
      <c r="B182" s="281" t="s">
        <v>1272</v>
      </c>
      <c r="C182" s="280">
        <v>0</v>
      </c>
      <c r="D182" s="280">
        <v>0</v>
      </c>
      <c r="E182" s="280">
        <v>0</v>
      </c>
      <c r="F182" s="280">
        <v>1</v>
      </c>
      <c r="G182" s="280">
        <v>0</v>
      </c>
      <c r="H182" s="280">
        <v>0</v>
      </c>
      <c r="I182" s="280">
        <v>0</v>
      </c>
      <c r="J182" s="280">
        <v>1</v>
      </c>
      <c r="K182" s="280"/>
      <c r="L182" s="280" t="s">
        <v>740</v>
      </c>
      <c r="M182" s="280" t="s">
        <v>538</v>
      </c>
      <c r="N182" s="280" t="s">
        <v>741</v>
      </c>
      <c r="O182" s="280"/>
      <c r="P182" s="280" t="s">
        <v>1273</v>
      </c>
      <c r="Q182" s="280" t="s">
        <v>1274</v>
      </c>
      <c r="R182" s="280"/>
      <c r="S182" s="280" t="s">
        <v>1275</v>
      </c>
      <c r="T182" s="280" t="s">
        <v>1276</v>
      </c>
      <c r="U182" s="280" t="s">
        <v>30</v>
      </c>
      <c r="V182" s="280" t="s">
        <v>538</v>
      </c>
      <c r="W182" s="280" t="s">
        <v>606</v>
      </c>
      <c r="X182" s="280">
        <f t="shared" si="5"/>
        <v>20</v>
      </c>
    </row>
    <row r="183" spans="1:24" ht="168" customHeight="1" x14ac:dyDescent="0.2">
      <c r="A183" s="281" t="s">
        <v>213</v>
      </c>
      <c r="B183" s="281" t="s">
        <v>1277</v>
      </c>
      <c r="C183" s="280">
        <v>0</v>
      </c>
      <c r="D183" s="280">
        <v>0</v>
      </c>
      <c r="E183" s="280">
        <v>0</v>
      </c>
      <c r="F183" s="280">
        <v>1</v>
      </c>
      <c r="G183" s="280">
        <v>0</v>
      </c>
      <c r="H183" s="280">
        <v>0</v>
      </c>
      <c r="I183" s="280">
        <v>0</v>
      </c>
      <c r="J183" s="280">
        <v>1</v>
      </c>
      <c r="K183" s="280"/>
      <c r="L183" s="280" t="s">
        <v>740</v>
      </c>
      <c r="M183" s="280" t="s">
        <v>538</v>
      </c>
      <c r="N183" s="280" t="s">
        <v>741</v>
      </c>
      <c r="O183" s="280"/>
      <c r="P183" s="280" t="s">
        <v>1278</v>
      </c>
      <c r="Q183" s="280" t="s">
        <v>1279</v>
      </c>
      <c r="R183" s="280"/>
      <c r="S183" s="280" t="s">
        <v>1280</v>
      </c>
      <c r="T183" s="280" t="s">
        <v>1281</v>
      </c>
      <c r="U183" s="280" t="s">
        <v>30</v>
      </c>
      <c r="V183" s="280" t="s">
        <v>538</v>
      </c>
      <c r="W183" s="280" t="s">
        <v>606</v>
      </c>
      <c r="X183" s="280">
        <f t="shared" si="5"/>
        <v>20</v>
      </c>
    </row>
    <row r="184" spans="1:24" ht="289.5" customHeight="1" x14ac:dyDescent="0.2">
      <c r="A184" s="280" t="s">
        <v>214</v>
      </c>
      <c r="B184" s="280" t="s">
        <v>1282</v>
      </c>
      <c r="C184" s="280">
        <v>0</v>
      </c>
      <c r="D184" s="280">
        <v>0</v>
      </c>
      <c r="E184" s="280">
        <v>0</v>
      </c>
      <c r="F184" s="280">
        <v>1</v>
      </c>
      <c r="G184" s="280">
        <v>0</v>
      </c>
      <c r="H184" s="280">
        <v>0</v>
      </c>
      <c r="I184" s="280">
        <v>0</v>
      </c>
      <c r="J184" s="280">
        <v>1</v>
      </c>
      <c r="K184" s="280"/>
      <c r="L184" s="280" t="s">
        <v>740</v>
      </c>
      <c r="M184" s="280" t="s">
        <v>538</v>
      </c>
      <c r="N184" s="280" t="s">
        <v>741</v>
      </c>
      <c r="O184" s="280"/>
      <c r="P184" s="280" t="s">
        <v>1283</v>
      </c>
      <c r="Q184" s="280" t="s">
        <v>1284</v>
      </c>
      <c r="R184" s="280"/>
      <c r="S184" s="280" t="s">
        <v>1285</v>
      </c>
      <c r="T184" s="280" t="s">
        <v>1286</v>
      </c>
      <c r="U184" s="280" t="s">
        <v>30</v>
      </c>
      <c r="V184" s="280" t="s">
        <v>538</v>
      </c>
      <c r="W184" s="280" t="s">
        <v>555</v>
      </c>
      <c r="X184" s="280">
        <f t="shared" si="5"/>
        <v>10</v>
      </c>
    </row>
    <row r="185" spans="1:24" ht="296.25" customHeight="1" x14ac:dyDescent="0.2">
      <c r="A185" s="280" t="s">
        <v>215</v>
      </c>
      <c r="B185" s="280" t="s">
        <v>1287</v>
      </c>
      <c r="C185" s="280">
        <v>0</v>
      </c>
      <c r="D185" s="280">
        <v>0</v>
      </c>
      <c r="E185" s="280">
        <v>0</v>
      </c>
      <c r="F185" s="280">
        <v>1</v>
      </c>
      <c r="G185" s="280">
        <v>0</v>
      </c>
      <c r="H185" s="280">
        <v>0</v>
      </c>
      <c r="I185" s="280">
        <v>0</v>
      </c>
      <c r="J185" s="280">
        <v>0</v>
      </c>
      <c r="K185" s="280"/>
      <c r="L185" s="280" t="s">
        <v>740</v>
      </c>
      <c r="M185" s="280" t="s">
        <v>538</v>
      </c>
      <c r="N185" s="280" t="s">
        <v>741</v>
      </c>
      <c r="O185" s="280" t="s">
        <v>1288</v>
      </c>
      <c r="P185" s="280" t="s">
        <v>1288</v>
      </c>
      <c r="Q185" s="280" t="s">
        <v>1288</v>
      </c>
      <c r="R185" s="280"/>
      <c r="S185" s="280" t="s">
        <v>1289</v>
      </c>
      <c r="T185" s="280" t="s">
        <v>1290</v>
      </c>
      <c r="U185" s="280" t="s">
        <v>30</v>
      </c>
      <c r="V185" s="280" t="s">
        <v>538</v>
      </c>
      <c r="W185" s="280" t="s">
        <v>555</v>
      </c>
      <c r="X185" s="280">
        <f t="shared" si="5"/>
        <v>10</v>
      </c>
    </row>
    <row r="186" spans="1:24" ht="300" customHeight="1" x14ac:dyDescent="0.2">
      <c r="A186" s="280" t="s">
        <v>216</v>
      </c>
      <c r="B186" s="280" t="s">
        <v>1291</v>
      </c>
      <c r="C186" s="280">
        <v>0</v>
      </c>
      <c r="D186" s="280">
        <v>0</v>
      </c>
      <c r="E186" s="280">
        <v>0</v>
      </c>
      <c r="F186" s="280">
        <v>1</v>
      </c>
      <c r="G186" s="280">
        <v>0</v>
      </c>
      <c r="H186" s="280">
        <v>0</v>
      </c>
      <c r="I186" s="280">
        <v>0</v>
      </c>
      <c r="J186" s="280">
        <v>1</v>
      </c>
      <c r="K186" s="280"/>
      <c r="L186" s="280" t="s">
        <v>740</v>
      </c>
      <c r="M186" s="280" t="s">
        <v>538</v>
      </c>
      <c r="N186" s="280" t="s">
        <v>741</v>
      </c>
      <c r="O186" s="280"/>
      <c r="P186" s="280" t="s">
        <v>1292</v>
      </c>
      <c r="Q186" s="280" t="s">
        <v>1293</v>
      </c>
      <c r="R186" s="280"/>
      <c r="S186" s="280" t="s">
        <v>1294</v>
      </c>
      <c r="T186" s="280" t="s">
        <v>1295</v>
      </c>
      <c r="U186" s="280" t="s">
        <v>30</v>
      </c>
      <c r="V186" s="280" t="s">
        <v>538</v>
      </c>
      <c r="W186" s="280" t="s">
        <v>564</v>
      </c>
      <c r="X186" s="280">
        <f t="shared" si="5"/>
        <v>5</v>
      </c>
    </row>
    <row r="187" spans="1:24" ht="76.5" customHeight="1" x14ac:dyDescent="0.2">
      <c r="A187" s="281" t="s">
        <v>249</v>
      </c>
      <c r="B187" s="281" t="s">
        <v>1296</v>
      </c>
      <c r="C187" s="280">
        <v>0</v>
      </c>
      <c r="D187" s="280">
        <v>0</v>
      </c>
      <c r="E187" s="280">
        <v>0</v>
      </c>
      <c r="F187" s="280">
        <v>0</v>
      </c>
      <c r="G187" s="280">
        <v>0</v>
      </c>
      <c r="H187" s="280">
        <v>1</v>
      </c>
      <c r="I187" s="280">
        <v>0</v>
      </c>
      <c r="J187" s="280">
        <v>1</v>
      </c>
      <c r="K187" s="280"/>
      <c r="L187" s="280" t="s">
        <v>1297</v>
      </c>
      <c r="M187" s="280" t="s">
        <v>538</v>
      </c>
      <c r="N187" s="280" t="s">
        <v>1298</v>
      </c>
      <c r="O187" s="280" t="s">
        <v>1299</v>
      </c>
      <c r="P187" s="280" t="s">
        <v>1299</v>
      </c>
      <c r="Q187" s="280" t="s">
        <v>1299</v>
      </c>
      <c r="R187" s="280"/>
      <c r="S187" s="280" t="s">
        <v>1300</v>
      </c>
      <c r="T187" s="280" t="s">
        <v>1301</v>
      </c>
      <c r="U187" s="280" t="s">
        <v>30</v>
      </c>
      <c r="V187" s="280" t="s">
        <v>538</v>
      </c>
      <c r="W187" s="280" t="s">
        <v>606</v>
      </c>
      <c r="X187" s="280">
        <f t="shared" si="5"/>
        <v>20</v>
      </c>
    </row>
    <row r="188" spans="1:24" ht="76.5" customHeight="1" x14ac:dyDescent="0.2">
      <c r="A188" s="281" t="s">
        <v>250</v>
      </c>
      <c r="B188" s="281" t="s">
        <v>1302</v>
      </c>
      <c r="C188" s="280">
        <v>0</v>
      </c>
      <c r="D188" s="280">
        <v>0</v>
      </c>
      <c r="E188" s="280">
        <v>0</v>
      </c>
      <c r="F188" s="280">
        <v>0</v>
      </c>
      <c r="G188" s="280">
        <v>0</v>
      </c>
      <c r="H188" s="280">
        <v>1</v>
      </c>
      <c r="I188" s="280">
        <v>0</v>
      </c>
      <c r="J188" s="280">
        <v>1</v>
      </c>
      <c r="K188" s="280"/>
      <c r="L188" s="280" t="s">
        <v>1297</v>
      </c>
      <c r="M188" s="280" t="s">
        <v>538</v>
      </c>
      <c r="N188" s="280" t="s">
        <v>1298</v>
      </c>
      <c r="O188" s="280" t="s">
        <v>1299</v>
      </c>
      <c r="P188" s="280" t="s">
        <v>1299</v>
      </c>
      <c r="Q188" s="280" t="s">
        <v>1299</v>
      </c>
      <c r="R188" s="280"/>
      <c r="S188" s="280" t="s">
        <v>1300</v>
      </c>
      <c r="T188" s="280" t="s">
        <v>1301</v>
      </c>
      <c r="U188" s="280" t="s">
        <v>30</v>
      </c>
      <c r="V188" s="280" t="s">
        <v>538</v>
      </c>
      <c r="W188" s="280" t="s">
        <v>606</v>
      </c>
      <c r="X188" s="280">
        <f t="shared" si="5"/>
        <v>20</v>
      </c>
    </row>
    <row r="189" spans="1:24" ht="76.5" customHeight="1" x14ac:dyDescent="0.2">
      <c r="A189" s="281" t="s">
        <v>251</v>
      </c>
      <c r="B189" s="281" t="s">
        <v>1303</v>
      </c>
      <c r="C189" s="280">
        <v>0</v>
      </c>
      <c r="D189" s="280">
        <v>0</v>
      </c>
      <c r="E189" s="280">
        <v>0</v>
      </c>
      <c r="F189" s="280">
        <v>0</v>
      </c>
      <c r="G189" s="280">
        <v>0</v>
      </c>
      <c r="H189" s="280">
        <v>1</v>
      </c>
      <c r="I189" s="280">
        <v>0</v>
      </c>
      <c r="J189" s="280">
        <v>1</v>
      </c>
      <c r="K189" s="280"/>
      <c r="L189" s="280" t="s">
        <v>1297</v>
      </c>
      <c r="M189" s="280" t="s">
        <v>538</v>
      </c>
      <c r="N189" s="280" t="s">
        <v>1298</v>
      </c>
      <c r="O189" s="280" t="s">
        <v>1299</v>
      </c>
      <c r="P189" s="280" t="s">
        <v>1299</v>
      </c>
      <c r="Q189" s="280" t="s">
        <v>1299</v>
      </c>
      <c r="R189" s="280"/>
      <c r="S189" s="280" t="s">
        <v>1300</v>
      </c>
      <c r="T189" s="280" t="s">
        <v>1301</v>
      </c>
      <c r="U189" s="280" t="s">
        <v>30</v>
      </c>
      <c r="V189" s="280" t="s">
        <v>538</v>
      </c>
      <c r="W189" s="280" t="s">
        <v>606</v>
      </c>
      <c r="X189" s="280">
        <f t="shared" si="5"/>
        <v>20</v>
      </c>
    </row>
    <row r="190" spans="1:24" ht="76.5" customHeight="1" x14ac:dyDescent="0.2">
      <c r="A190" s="281" t="s">
        <v>252</v>
      </c>
      <c r="B190" s="281" t="s">
        <v>1304</v>
      </c>
      <c r="C190" s="280">
        <v>0</v>
      </c>
      <c r="D190" s="280">
        <v>0</v>
      </c>
      <c r="E190" s="280">
        <v>0</v>
      </c>
      <c r="F190" s="280">
        <v>0</v>
      </c>
      <c r="G190" s="280">
        <v>0</v>
      </c>
      <c r="H190" s="280">
        <v>1</v>
      </c>
      <c r="I190" s="280">
        <v>0</v>
      </c>
      <c r="J190" s="280">
        <v>1</v>
      </c>
      <c r="K190" s="280"/>
      <c r="L190" s="280" t="s">
        <v>1297</v>
      </c>
      <c r="M190" s="280" t="s">
        <v>538</v>
      </c>
      <c r="N190" s="280" t="s">
        <v>1298</v>
      </c>
      <c r="O190" s="280" t="s">
        <v>1299</v>
      </c>
      <c r="P190" s="280" t="s">
        <v>1299</v>
      </c>
      <c r="Q190" s="280" t="s">
        <v>1299</v>
      </c>
      <c r="R190" s="280"/>
      <c r="S190" s="280" t="s">
        <v>1300</v>
      </c>
      <c r="T190" s="280" t="s">
        <v>1301</v>
      </c>
      <c r="U190" s="280" t="s">
        <v>30</v>
      </c>
      <c r="V190" s="280" t="s">
        <v>538</v>
      </c>
      <c r="W190" s="280" t="s">
        <v>606</v>
      </c>
      <c r="X190" s="280">
        <f t="shared" si="5"/>
        <v>20</v>
      </c>
    </row>
    <row r="191" spans="1:24" ht="76.5" customHeight="1" x14ac:dyDescent="0.2">
      <c r="A191" s="280" t="s">
        <v>253</v>
      </c>
      <c r="B191" s="280" t="s">
        <v>1305</v>
      </c>
      <c r="C191" s="280">
        <v>0</v>
      </c>
      <c r="D191" s="280">
        <v>0</v>
      </c>
      <c r="E191" s="280">
        <v>0</v>
      </c>
      <c r="F191" s="280">
        <v>0</v>
      </c>
      <c r="G191" s="280">
        <v>0</v>
      </c>
      <c r="H191" s="280">
        <v>1</v>
      </c>
      <c r="I191" s="280">
        <v>0</v>
      </c>
      <c r="J191" s="280">
        <v>1</v>
      </c>
      <c r="K191" s="280"/>
      <c r="L191" s="280" t="s">
        <v>1297</v>
      </c>
      <c r="M191" s="280" t="s">
        <v>538</v>
      </c>
      <c r="N191" s="280" t="s">
        <v>1298</v>
      </c>
      <c r="O191" s="280" t="s">
        <v>1299</v>
      </c>
      <c r="P191" s="280" t="s">
        <v>1299</v>
      </c>
      <c r="Q191" s="280" t="s">
        <v>1299</v>
      </c>
      <c r="R191" s="280"/>
      <c r="S191" s="280" t="s">
        <v>1300</v>
      </c>
      <c r="T191" s="280" t="s">
        <v>1301</v>
      </c>
      <c r="U191" s="280" t="s">
        <v>30</v>
      </c>
      <c r="V191" s="280" t="s">
        <v>538</v>
      </c>
      <c r="W191" s="280" t="s">
        <v>555</v>
      </c>
      <c r="X191" s="280">
        <f t="shared" si="5"/>
        <v>10</v>
      </c>
    </row>
    <row r="192" spans="1:24" ht="76.5" customHeight="1" x14ac:dyDescent="0.2">
      <c r="A192" s="280" t="s">
        <v>254</v>
      </c>
      <c r="B192" s="280" t="s">
        <v>1306</v>
      </c>
      <c r="C192" s="280">
        <v>0</v>
      </c>
      <c r="D192" s="280">
        <v>0</v>
      </c>
      <c r="E192" s="280">
        <v>0</v>
      </c>
      <c r="F192" s="280">
        <v>0</v>
      </c>
      <c r="G192" s="280">
        <v>0</v>
      </c>
      <c r="H192" s="280">
        <v>1</v>
      </c>
      <c r="I192" s="280">
        <v>0</v>
      </c>
      <c r="J192" s="280">
        <v>1</v>
      </c>
      <c r="K192" s="280"/>
      <c r="L192" s="280" t="s">
        <v>1297</v>
      </c>
      <c r="M192" s="280" t="s">
        <v>538</v>
      </c>
      <c r="N192" s="280" t="s">
        <v>1298</v>
      </c>
      <c r="O192" s="280" t="s">
        <v>1299</v>
      </c>
      <c r="P192" s="280" t="s">
        <v>1299</v>
      </c>
      <c r="Q192" s="280" t="s">
        <v>1299</v>
      </c>
      <c r="R192" s="280"/>
      <c r="S192" s="280" t="s">
        <v>1300</v>
      </c>
      <c r="T192" s="280" t="s">
        <v>1301</v>
      </c>
      <c r="U192" s="280" t="s">
        <v>30</v>
      </c>
      <c r="V192" s="280" t="s">
        <v>538</v>
      </c>
      <c r="W192" s="280" t="s">
        <v>555</v>
      </c>
      <c r="X192" s="280">
        <f t="shared" si="5"/>
        <v>10</v>
      </c>
    </row>
    <row r="193" spans="1:24" ht="76.5" customHeight="1" x14ac:dyDescent="0.2">
      <c r="A193" s="280" t="s">
        <v>255</v>
      </c>
      <c r="B193" s="280" t="s">
        <v>1307</v>
      </c>
      <c r="C193" s="280">
        <v>0</v>
      </c>
      <c r="D193" s="280">
        <v>0</v>
      </c>
      <c r="E193" s="280">
        <v>0</v>
      </c>
      <c r="F193" s="280">
        <v>0</v>
      </c>
      <c r="G193" s="280">
        <v>0</v>
      </c>
      <c r="H193" s="280">
        <v>1</v>
      </c>
      <c r="I193" s="280">
        <v>0</v>
      </c>
      <c r="J193" s="280">
        <v>1</v>
      </c>
      <c r="K193" s="280"/>
      <c r="L193" s="280" t="s">
        <v>1297</v>
      </c>
      <c r="M193" s="280" t="s">
        <v>538</v>
      </c>
      <c r="N193" s="280" t="s">
        <v>1298</v>
      </c>
      <c r="O193" s="280" t="s">
        <v>1299</v>
      </c>
      <c r="P193" s="280" t="s">
        <v>1299</v>
      </c>
      <c r="Q193" s="280" t="s">
        <v>1299</v>
      </c>
      <c r="R193" s="280"/>
      <c r="S193" s="280" t="s">
        <v>1300</v>
      </c>
      <c r="T193" s="280" t="s">
        <v>1301</v>
      </c>
      <c r="U193" s="280" t="s">
        <v>30</v>
      </c>
      <c r="V193" s="280" t="s">
        <v>538</v>
      </c>
      <c r="W193" s="280" t="s">
        <v>555</v>
      </c>
      <c r="X193" s="280">
        <f t="shared" ref="X193:X223" si="6">IF($W193="Critical Importance",20,IF($W193="Minor Importance",5,10))</f>
        <v>10</v>
      </c>
    </row>
    <row r="194" spans="1:24" ht="76.5" customHeight="1" x14ac:dyDescent="0.2">
      <c r="A194" s="280" t="s">
        <v>256</v>
      </c>
      <c r="B194" s="280" t="s">
        <v>1308</v>
      </c>
      <c r="C194" s="280">
        <v>0</v>
      </c>
      <c r="D194" s="280">
        <v>0</v>
      </c>
      <c r="E194" s="280">
        <v>0</v>
      </c>
      <c r="F194" s="280">
        <v>0</v>
      </c>
      <c r="G194" s="280">
        <v>0</v>
      </c>
      <c r="H194" s="280">
        <v>1</v>
      </c>
      <c r="I194" s="280">
        <v>0</v>
      </c>
      <c r="J194" s="280">
        <v>1</v>
      </c>
      <c r="K194" s="280"/>
      <c r="L194" s="280" t="s">
        <v>1297</v>
      </c>
      <c r="M194" s="280" t="s">
        <v>538</v>
      </c>
      <c r="N194" s="280" t="s">
        <v>1298</v>
      </c>
      <c r="O194" s="280" t="s">
        <v>1299</v>
      </c>
      <c r="P194" s="280" t="s">
        <v>1299</v>
      </c>
      <c r="Q194" s="280" t="s">
        <v>1299</v>
      </c>
      <c r="R194" s="280"/>
      <c r="S194" s="280" t="s">
        <v>1300</v>
      </c>
      <c r="T194" s="280" t="s">
        <v>1301</v>
      </c>
      <c r="U194" s="280" t="s">
        <v>30</v>
      </c>
      <c r="V194" s="280" t="s">
        <v>538</v>
      </c>
      <c r="W194" s="280" t="s">
        <v>555</v>
      </c>
      <c r="X194" s="280">
        <f t="shared" si="6"/>
        <v>10</v>
      </c>
    </row>
    <row r="195" spans="1:24" ht="76.5" customHeight="1" x14ac:dyDescent="0.2">
      <c r="A195" s="280" t="s">
        <v>257</v>
      </c>
      <c r="B195" s="280" t="s">
        <v>1309</v>
      </c>
      <c r="C195" s="280">
        <v>0</v>
      </c>
      <c r="D195" s="280">
        <v>0</v>
      </c>
      <c r="E195" s="280">
        <v>0</v>
      </c>
      <c r="F195" s="280">
        <v>0</v>
      </c>
      <c r="G195" s="280">
        <v>0</v>
      </c>
      <c r="H195" s="280">
        <v>1</v>
      </c>
      <c r="I195" s="280">
        <v>0</v>
      </c>
      <c r="J195" s="280">
        <v>1</v>
      </c>
      <c r="K195" s="280"/>
      <c r="L195" s="280" t="s">
        <v>1297</v>
      </c>
      <c r="M195" s="280" t="s">
        <v>538</v>
      </c>
      <c r="N195" s="280" t="s">
        <v>1298</v>
      </c>
      <c r="O195" s="280" t="s">
        <v>1299</v>
      </c>
      <c r="P195" s="280" t="s">
        <v>1299</v>
      </c>
      <c r="Q195" s="280" t="s">
        <v>1299</v>
      </c>
      <c r="R195" s="280"/>
      <c r="S195" s="280" t="s">
        <v>1300</v>
      </c>
      <c r="T195" s="280" t="s">
        <v>1301</v>
      </c>
      <c r="U195" s="280" t="s">
        <v>30</v>
      </c>
      <c r="V195" s="280" t="s">
        <v>538</v>
      </c>
      <c r="W195" s="280" t="s">
        <v>555</v>
      </c>
      <c r="X195" s="280">
        <f t="shared" si="6"/>
        <v>10</v>
      </c>
    </row>
    <row r="196" spans="1:24" ht="76.5" customHeight="1" x14ac:dyDescent="0.2">
      <c r="A196" s="280" t="s">
        <v>258</v>
      </c>
      <c r="B196" s="280" t="s">
        <v>1310</v>
      </c>
      <c r="C196" s="280">
        <v>0</v>
      </c>
      <c r="D196" s="280">
        <v>0</v>
      </c>
      <c r="E196" s="280">
        <v>0</v>
      </c>
      <c r="F196" s="280">
        <v>0</v>
      </c>
      <c r="G196" s="280">
        <v>0</v>
      </c>
      <c r="H196" s="280">
        <v>1</v>
      </c>
      <c r="I196" s="280">
        <v>0</v>
      </c>
      <c r="J196" s="280">
        <v>1</v>
      </c>
      <c r="K196" s="280"/>
      <c r="L196" s="280" t="s">
        <v>1297</v>
      </c>
      <c r="M196" s="280" t="s">
        <v>538</v>
      </c>
      <c r="N196" s="280" t="s">
        <v>1298</v>
      </c>
      <c r="O196" s="280" t="s">
        <v>1299</v>
      </c>
      <c r="P196" s="280" t="s">
        <v>1299</v>
      </c>
      <c r="Q196" s="280" t="s">
        <v>1299</v>
      </c>
      <c r="R196" s="280"/>
      <c r="S196" s="280" t="s">
        <v>1300</v>
      </c>
      <c r="T196" s="280" t="s">
        <v>1301</v>
      </c>
      <c r="U196" s="280" t="s">
        <v>30</v>
      </c>
      <c r="V196" s="280" t="s">
        <v>538</v>
      </c>
      <c r="W196" s="280" t="s">
        <v>555</v>
      </c>
      <c r="X196" s="280">
        <f t="shared" si="6"/>
        <v>10</v>
      </c>
    </row>
    <row r="197" spans="1:24" ht="76.5" customHeight="1" x14ac:dyDescent="0.2">
      <c r="A197" s="280" t="s">
        <v>259</v>
      </c>
      <c r="B197" s="280" t="s">
        <v>1311</v>
      </c>
      <c r="C197" s="280">
        <v>0</v>
      </c>
      <c r="D197" s="280">
        <v>0</v>
      </c>
      <c r="E197" s="280">
        <v>0</v>
      </c>
      <c r="F197" s="280">
        <v>0</v>
      </c>
      <c r="G197" s="280">
        <v>0</v>
      </c>
      <c r="H197" s="280">
        <v>1</v>
      </c>
      <c r="I197" s="280">
        <v>0</v>
      </c>
      <c r="J197" s="280">
        <v>1</v>
      </c>
      <c r="K197" s="280"/>
      <c r="L197" s="280" t="s">
        <v>1297</v>
      </c>
      <c r="M197" s="280" t="s">
        <v>538</v>
      </c>
      <c r="N197" s="280" t="s">
        <v>1298</v>
      </c>
      <c r="O197" s="280" t="s">
        <v>1299</v>
      </c>
      <c r="P197" s="280" t="s">
        <v>1299</v>
      </c>
      <c r="Q197" s="280" t="s">
        <v>1299</v>
      </c>
      <c r="R197" s="280"/>
      <c r="S197" s="280" t="s">
        <v>1300</v>
      </c>
      <c r="T197" s="280" t="s">
        <v>1301</v>
      </c>
      <c r="U197" s="280" t="s">
        <v>30</v>
      </c>
      <c r="V197" s="280" t="s">
        <v>538</v>
      </c>
      <c r="W197" s="280" t="s">
        <v>555</v>
      </c>
      <c r="X197" s="280">
        <f t="shared" si="6"/>
        <v>10</v>
      </c>
    </row>
    <row r="198" spans="1:24" ht="76.5" customHeight="1" x14ac:dyDescent="0.2">
      <c r="A198" s="280" t="s">
        <v>260</v>
      </c>
      <c r="B198" s="280" t="s">
        <v>1312</v>
      </c>
      <c r="C198" s="280">
        <v>0</v>
      </c>
      <c r="D198" s="280">
        <v>0</v>
      </c>
      <c r="E198" s="280">
        <v>0</v>
      </c>
      <c r="F198" s="280">
        <v>0</v>
      </c>
      <c r="G198" s="280">
        <v>0</v>
      </c>
      <c r="H198" s="280">
        <v>1</v>
      </c>
      <c r="I198" s="280">
        <v>0</v>
      </c>
      <c r="J198" s="280">
        <v>1</v>
      </c>
      <c r="K198" s="280"/>
      <c r="L198" s="280" t="s">
        <v>1297</v>
      </c>
      <c r="M198" s="280" t="s">
        <v>538</v>
      </c>
      <c r="N198" s="280" t="s">
        <v>1298</v>
      </c>
      <c r="O198" s="280" t="s">
        <v>1299</v>
      </c>
      <c r="P198" s="280" t="s">
        <v>1299</v>
      </c>
      <c r="Q198" s="280" t="s">
        <v>1299</v>
      </c>
      <c r="R198" s="280"/>
      <c r="S198" s="280" t="s">
        <v>1300</v>
      </c>
      <c r="T198" s="280" t="s">
        <v>1301</v>
      </c>
      <c r="U198" s="280" t="s">
        <v>30</v>
      </c>
      <c r="V198" s="280" t="s">
        <v>538</v>
      </c>
      <c r="W198" s="280" t="s">
        <v>555</v>
      </c>
      <c r="X198" s="280">
        <f t="shared" si="6"/>
        <v>10</v>
      </c>
    </row>
    <row r="199" spans="1:24" ht="76.5" customHeight="1" x14ac:dyDescent="0.2">
      <c r="A199" s="280" t="s">
        <v>261</v>
      </c>
      <c r="B199" s="280" t="s">
        <v>1313</v>
      </c>
      <c r="C199" s="280">
        <v>0</v>
      </c>
      <c r="D199" s="280">
        <v>0</v>
      </c>
      <c r="E199" s="280">
        <v>0</v>
      </c>
      <c r="F199" s="280">
        <v>0</v>
      </c>
      <c r="G199" s="280">
        <v>0</v>
      </c>
      <c r="H199" s="280">
        <v>1</v>
      </c>
      <c r="I199" s="280">
        <v>0</v>
      </c>
      <c r="J199" s="280">
        <v>1</v>
      </c>
      <c r="K199" s="280"/>
      <c r="L199" s="280" t="s">
        <v>1297</v>
      </c>
      <c r="M199" s="280" t="s">
        <v>538</v>
      </c>
      <c r="N199" s="280" t="s">
        <v>1298</v>
      </c>
      <c r="O199" s="280" t="s">
        <v>1299</v>
      </c>
      <c r="P199" s="280" t="s">
        <v>1299</v>
      </c>
      <c r="Q199" s="280" t="s">
        <v>1299</v>
      </c>
      <c r="R199" s="280"/>
      <c r="S199" s="280" t="s">
        <v>1300</v>
      </c>
      <c r="T199" s="280" t="s">
        <v>1301</v>
      </c>
      <c r="U199" s="280" t="s">
        <v>30</v>
      </c>
      <c r="V199" s="280" t="s">
        <v>538</v>
      </c>
      <c r="W199" s="280" t="s">
        <v>555</v>
      </c>
      <c r="X199" s="280">
        <f t="shared" si="6"/>
        <v>10</v>
      </c>
    </row>
    <row r="200" spans="1:24" ht="76.5" customHeight="1" x14ac:dyDescent="0.2">
      <c r="A200" s="280" t="s">
        <v>262</v>
      </c>
      <c r="B200" s="280" t="s">
        <v>1314</v>
      </c>
      <c r="C200" s="280">
        <v>0</v>
      </c>
      <c r="D200" s="280">
        <v>0</v>
      </c>
      <c r="E200" s="280">
        <v>0</v>
      </c>
      <c r="F200" s="280">
        <v>0</v>
      </c>
      <c r="G200" s="280">
        <v>0</v>
      </c>
      <c r="H200" s="280">
        <v>1</v>
      </c>
      <c r="I200" s="280">
        <v>0</v>
      </c>
      <c r="J200" s="280">
        <v>1</v>
      </c>
      <c r="K200" s="280"/>
      <c r="L200" s="280" t="s">
        <v>1297</v>
      </c>
      <c r="M200" s="280" t="s">
        <v>538</v>
      </c>
      <c r="N200" s="280" t="s">
        <v>1298</v>
      </c>
      <c r="O200" s="280" t="s">
        <v>1299</v>
      </c>
      <c r="P200" s="280" t="s">
        <v>1299</v>
      </c>
      <c r="Q200" s="280" t="s">
        <v>1299</v>
      </c>
      <c r="R200" s="280"/>
      <c r="S200" s="280" t="s">
        <v>1300</v>
      </c>
      <c r="T200" s="280" t="s">
        <v>1301</v>
      </c>
      <c r="U200" s="280" t="s">
        <v>26</v>
      </c>
      <c r="V200" s="280" t="s">
        <v>538</v>
      </c>
      <c r="W200" s="280" t="s">
        <v>555</v>
      </c>
      <c r="X200" s="280">
        <f t="shared" si="6"/>
        <v>10</v>
      </c>
    </row>
    <row r="201" spans="1:24" ht="76.5" customHeight="1" x14ac:dyDescent="0.2">
      <c r="A201" s="280" t="s">
        <v>263</v>
      </c>
      <c r="B201" s="280" t="s">
        <v>1315</v>
      </c>
      <c r="C201" s="280">
        <v>0</v>
      </c>
      <c r="D201" s="280">
        <v>0</v>
      </c>
      <c r="E201" s="280">
        <v>0</v>
      </c>
      <c r="F201" s="280">
        <v>0</v>
      </c>
      <c r="G201" s="280">
        <v>0</v>
      </c>
      <c r="H201" s="280">
        <v>1</v>
      </c>
      <c r="I201" s="280">
        <v>0</v>
      </c>
      <c r="J201" s="280">
        <v>1</v>
      </c>
      <c r="K201" s="280"/>
      <c r="L201" s="280" t="s">
        <v>1297</v>
      </c>
      <c r="M201" s="280" t="s">
        <v>538</v>
      </c>
      <c r="N201" s="280" t="s">
        <v>1298</v>
      </c>
      <c r="O201" s="280" t="s">
        <v>1299</v>
      </c>
      <c r="P201" s="280" t="s">
        <v>1299</v>
      </c>
      <c r="Q201" s="280" t="s">
        <v>1299</v>
      </c>
      <c r="R201" s="280"/>
      <c r="S201" s="280" t="s">
        <v>1300</v>
      </c>
      <c r="T201" s="280" t="s">
        <v>1301</v>
      </c>
      <c r="U201" s="280" t="s">
        <v>30</v>
      </c>
      <c r="V201" s="280" t="s">
        <v>538</v>
      </c>
      <c r="W201" s="280" t="s">
        <v>555</v>
      </c>
      <c r="X201" s="280">
        <f t="shared" si="6"/>
        <v>10</v>
      </c>
    </row>
    <row r="202" spans="1:24" ht="76.5" customHeight="1" x14ac:dyDescent="0.2">
      <c r="A202" s="280" t="s">
        <v>264</v>
      </c>
      <c r="B202" s="280" t="s">
        <v>1316</v>
      </c>
      <c r="C202" s="280">
        <v>0</v>
      </c>
      <c r="D202" s="280">
        <v>0</v>
      </c>
      <c r="E202" s="280">
        <v>0</v>
      </c>
      <c r="F202" s="280">
        <v>0</v>
      </c>
      <c r="G202" s="280">
        <v>0</v>
      </c>
      <c r="H202" s="280">
        <v>1</v>
      </c>
      <c r="I202" s="280">
        <v>0</v>
      </c>
      <c r="J202" s="280">
        <v>1</v>
      </c>
      <c r="K202" s="280"/>
      <c r="L202" s="280" t="s">
        <v>1297</v>
      </c>
      <c r="M202" s="280" t="s">
        <v>538</v>
      </c>
      <c r="N202" s="280" t="s">
        <v>1298</v>
      </c>
      <c r="O202" s="280" t="s">
        <v>1299</v>
      </c>
      <c r="P202" s="280" t="s">
        <v>1299</v>
      </c>
      <c r="Q202" s="280" t="s">
        <v>1299</v>
      </c>
      <c r="R202" s="280"/>
      <c r="S202" s="280" t="s">
        <v>1300</v>
      </c>
      <c r="T202" s="280" t="s">
        <v>1301</v>
      </c>
      <c r="U202" s="280" t="s">
        <v>30</v>
      </c>
      <c r="V202" s="280" t="s">
        <v>538</v>
      </c>
      <c r="W202" s="280" t="s">
        <v>555</v>
      </c>
      <c r="X202" s="280">
        <f t="shared" si="6"/>
        <v>10</v>
      </c>
    </row>
    <row r="203" spans="1:24" ht="76.5" customHeight="1" x14ac:dyDescent="0.2">
      <c r="A203" s="280" t="s">
        <v>265</v>
      </c>
      <c r="B203" s="280" t="s">
        <v>1317</v>
      </c>
      <c r="C203" s="280">
        <v>0</v>
      </c>
      <c r="D203" s="280">
        <v>0</v>
      </c>
      <c r="E203" s="280">
        <v>0</v>
      </c>
      <c r="F203" s="280">
        <v>0</v>
      </c>
      <c r="G203" s="280">
        <v>0</v>
      </c>
      <c r="H203" s="280">
        <v>1</v>
      </c>
      <c r="I203" s="280">
        <v>0</v>
      </c>
      <c r="J203" s="280">
        <v>1</v>
      </c>
      <c r="K203" s="280"/>
      <c r="L203" s="280" t="s">
        <v>1297</v>
      </c>
      <c r="M203" s="280" t="s">
        <v>538</v>
      </c>
      <c r="N203" s="280" t="s">
        <v>1298</v>
      </c>
      <c r="O203" s="280" t="s">
        <v>1299</v>
      </c>
      <c r="P203" s="280" t="s">
        <v>1299</v>
      </c>
      <c r="Q203" s="280" t="s">
        <v>1299</v>
      </c>
      <c r="R203" s="280"/>
      <c r="S203" s="280" t="s">
        <v>1300</v>
      </c>
      <c r="T203" s="280" t="s">
        <v>1301</v>
      </c>
      <c r="U203" s="280" t="s">
        <v>30</v>
      </c>
      <c r="V203" s="280" t="s">
        <v>538</v>
      </c>
      <c r="W203" s="280" t="s">
        <v>555</v>
      </c>
      <c r="X203" s="280">
        <f t="shared" si="6"/>
        <v>10</v>
      </c>
    </row>
    <row r="204" spans="1:24" ht="76.5" customHeight="1" x14ac:dyDescent="0.2">
      <c r="A204" s="280" t="s">
        <v>266</v>
      </c>
      <c r="B204" s="280" t="s">
        <v>1318</v>
      </c>
      <c r="C204" s="280">
        <v>0</v>
      </c>
      <c r="D204" s="280">
        <v>0</v>
      </c>
      <c r="E204" s="280">
        <v>0</v>
      </c>
      <c r="F204" s="280">
        <v>0</v>
      </c>
      <c r="G204" s="280">
        <v>0</v>
      </c>
      <c r="H204" s="280">
        <v>1</v>
      </c>
      <c r="I204" s="280">
        <v>0</v>
      </c>
      <c r="J204" s="280">
        <v>1</v>
      </c>
      <c r="K204" s="280"/>
      <c r="L204" s="280" t="s">
        <v>1297</v>
      </c>
      <c r="M204" s="280" t="s">
        <v>538</v>
      </c>
      <c r="N204" s="280" t="s">
        <v>1298</v>
      </c>
      <c r="O204" s="280" t="s">
        <v>1299</v>
      </c>
      <c r="P204" s="280" t="s">
        <v>1299</v>
      </c>
      <c r="Q204" s="280" t="s">
        <v>1299</v>
      </c>
      <c r="R204" s="280"/>
      <c r="S204" s="280" t="s">
        <v>1300</v>
      </c>
      <c r="T204" s="280" t="s">
        <v>1301</v>
      </c>
      <c r="U204" s="280" t="s">
        <v>26</v>
      </c>
      <c r="V204" s="280" t="s">
        <v>538</v>
      </c>
      <c r="W204" s="280" t="s">
        <v>555</v>
      </c>
      <c r="X204" s="280">
        <f t="shared" si="6"/>
        <v>10</v>
      </c>
    </row>
    <row r="205" spans="1:24" ht="76.5" customHeight="1" x14ac:dyDescent="0.2">
      <c r="A205" s="280" t="s">
        <v>267</v>
      </c>
      <c r="B205" s="280" t="s">
        <v>1319</v>
      </c>
      <c r="C205" s="280">
        <v>0</v>
      </c>
      <c r="D205" s="280">
        <v>0</v>
      </c>
      <c r="E205" s="280">
        <v>0</v>
      </c>
      <c r="F205" s="280">
        <v>0</v>
      </c>
      <c r="G205" s="280">
        <v>0</v>
      </c>
      <c r="H205" s="280">
        <v>1</v>
      </c>
      <c r="I205" s="280">
        <v>0</v>
      </c>
      <c r="J205" s="280">
        <v>1</v>
      </c>
      <c r="K205" s="280"/>
      <c r="L205" s="280" t="s">
        <v>1297</v>
      </c>
      <c r="M205" s="280" t="s">
        <v>538</v>
      </c>
      <c r="N205" s="280" t="s">
        <v>1298</v>
      </c>
      <c r="O205" s="280" t="s">
        <v>1299</v>
      </c>
      <c r="P205" s="280" t="s">
        <v>1299</v>
      </c>
      <c r="Q205" s="280" t="s">
        <v>1299</v>
      </c>
      <c r="R205" s="280"/>
      <c r="S205" s="280" t="s">
        <v>1300</v>
      </c>
      <c r="T205" s="280" t="s">
        <v>1301</v>
      </c>
      <c r="U205" s="280" t="s">
        <v>30</v>
      </c>
      <c r="V205" s="280" t="s">
        <v>538</v>
      </c>
      <c r="W205" s="280" t="s">
        <v>555</v>
      </c>
      <c r="X205" s="280">
        <f t="shared" si="6"/>
        <v>10</v>
      </c>
    </row>
    <row r="206" spans="1:24" ht="76.5" customHeight="1" x14ac:dyDescent="0.2">
      <c r="A206" s="280" t="s">
        <v>268</v>
      </c>
      <c r="B206" s="280" t="s">
        <v>1320</v>
      </c>
      <c r="C206" s="280">
        <v>0</v>
      </c>
      <c r="D206" s="280">
        <v>0</v>
      </c>
      <c r="E206" s="280">
        <v>0</v>
      </c>
      <c r="F206" s="280">
        <v>0</v>
      </c>
      <c r="G206" s="280">
        <v>0</v>
      </c>
      <c r="H206" s="280">
        <v>1</v>
      </c>
      <c r="I206" s="280">
        <v>0</v>
      </c>
      <c r="J206" s="280">
        <v>1</v>
      </c>
      <c r="K206" s="280"/>
      <c r="L206" s="280" t="s">
        <v>1297</v>
      </c>
      <c r="M206" s="280" t="s">
        <v>538</v>
      </c>
      <c r="N206" s="280" t="s">
        <v>1298</v>
      </c>
      <c r="O206" s="280" t="s">
        <v>1299</v>
      </c>
      <c r="P206" s="280" t="s">
        <v>1299</v>
      </c>
      <c r="Q206" s="280" t="s">
        <v>1299</v>
      </c>
      <c r="R206" s="280"/>
      <c r="S206" s="280" t="s">
        <v>1300</v>
      </c>
      <c r="T206" s="280" t="s">
        <v>1301</v>
      </c>
      <c r="U206" s="280" t="s">
        <v>30</v>
      </c>
      <c r="V206" s="280" t="s">
        <v>538</v>
      </c>
      <c r="W206" s="280" t="s">
        <v>555</v>
      </c>
      <c r="X206" s="280">
        <f t="shared" si="6"/>
        <v>10</v>
      </c>
    </row>
    <row r="207" spans="1:24" ht="76.5" customHeight="1" x14ac:dyDescent="0.2">
      <c r="A207" s="280" t="s">
        <v>269</v>
      </c>
      <c r="B207" s="280" t="s">
        <v>1321</v>
      </c>
      <c r="C207" s="280">
        <v>0</v>
      </c>
      <c r="D207" s="280">
        <v>0</v>
      </c>
      <c r="E207" s="280">
        <v>0</v>
      </c>
      <c r="F207" s="280">
        <v>0</v>
      </c>
      <c r="G207" s="280">
        <v>0</v>
      </c>
      <c r="H207" s="280">
        <v>1</v>
      </c>
      <c r="I207" s="280">
        <v>0</v>
      </c>
      <c r="J207" s="280">
        <v>1</v>
      </c>
      <c r="K207" s="280"/>
      <c r="L207" s="280" t="s">
        <v>1297</v>
      </c>
      <c r="M207" s="280" t="s">
        <v>538</v>
      </c>
      <c r="N207" s="280" t="s">
        <v>1298</v>
      </c>
      <c r="O207" s="280" t="s">
        <v>1299</v>
      </c>
      <c r="P207" s="280" t="s">
        <v>1299</v>
      </c>
      <c r="Q207" s="280" t="s">
        <v>1299</v>
      </c>
      <c r="R207" s="280"/>
      <c r="S207" s="280" t="s">
        <v>1300</v>
      </c>
      <c r="T207" s="280" t="s">
        <v>1301</v>
      </c>
      <c r="U207" s="280" t="s">
        <v>30</v>
      </c>
      <c r="V207" s="280" t="s">
        <v>538</v>
      </c>
      <c r="W207" s="280" t="s">
        <v>555</v>
      </c>
      <c r="X207" s="280">
        <f t="shared" si="6"/>
        <v>10</v>
      </c>
    </row>
    <row r="208" spans="1:24" ht="76.5" customHeight="1" x14ac:dyDescent="0.2">
      <c r="A208" s="280" t="s">
        <v>270</v>
      </c>
      <c r="B208" s="280" t="s">
        <v>1322</v>
      </c>
      <c r="C208" s="280">
        <v>0</v>
      </c>
      <c r="D208" s="280">
        <v>0</v>
      </c>
      <c r="E208" s="280">
        <v>0</v>
      </c>
      <c r="F208" s="280">
        <v>0</v>
      </c>
      <c r="G208" s="280">
        <v>0</v>
      </c>
      <c r="H208" s="280">
        <v>1</v>
      </c>
      <c r="I208" s="280">
        <v>0</v>
      </c>
      <c r="J208" s="280">
        <v>1</v>
      </c>
      <c r="K208" s="280"/>
      <c r="L208" s="280" t="s">
        <v>1297</v>
      </c>
      <c r="M208" s="280" t="s">
        <v>538</v>
      </c>
      <c r="N208" s="280" t="s">
        <v>1298</v>
      </c>
      <c r="O208" s="280" t="s">
        <v>1299</v>
      </c>
      <c r="P208" s="280" t="s">
        <v>1299</v>
      </c>
      <c r="Q208" s="280" t="s">
        <v>1299</v>
      </c>
      <c r="R208" s="280"/>
      <c r="S208" s="280" t="s">
        <v>1300</v>
      </c>
      <c r="T208" s="280" t="s">
        <v>1301</v>
      </c>
      <c r="U208" s="280" t="s">
        <v>30</v>
      </c>
      <c r="V208" s="280" t="s">
        <v>538</v>
      </c>
      <c r="W208" s="280" t="s">
        <v>555</v>
      </c>
      <c r="X208" s="280">
        <f t="shared" si="6"/>
        <v>10</v>
      </c>
    </row>
    <row r="209" spans="1:24" ht="76.5" customHeight="1" x14ac:dyDescent="0.2">
      <c r="A209" s="280" t="s">
        <v>271</v>
      </c>
      <c r="B209" s="280" t="s">
        <v>1323</v>
      </c>
      <c r="C209" s="280">
        <v>0</v>
      </c>
      <c r="D209" s="280">
        <v>0</v>
      </c>
      <c r="E209" s="280">
        <v>0</v>
      </c>
      <c r="F209" s="280">
        <v>0</v>
      </c>
      <c r="G209" s="280">
        <v>0</v>
      </c>
      <c r="H209" s="280">
        <v>1</v>
      </c>
      <c r="I209" s="280">
        <v>0</v>
      </c>
      <c r="J209" s="280">
        <v>1</v>
      </c>
      <c r="K209" s="280"/>
      <c r="L209" s="280" t="s">
        <v>1297</v>
      </c>
      <c r="M209" s="280" t="s">
        <v>538</v>
      </c>
      <c r="N209" s="280" t="s">
        <v>1298</v>
      </c>
      <c r="O209" s="280" t="s">
        <v>1299</v>
      </c>
      <c r="P209" s="280" t="s">
        <v>1324</v>
      </c>
      <c r="Q209" s="280" t="s">
        <v>1324</v>
      </c>
      <c r="R209" s="280"/>
      <c r="S209" s="280" t="s">
        <v>1300</v>
      </c>
      <c r="T209" s="280" t="s">
        <v>1301</v>
      </c>
      <c r="U209" s="280" t="s">
        <v>30</v>
      </c>
      <c r="V209" s="280" t="s">
        <v>538</v>
      </c>
      <c r="W209" s="280" t="s">
        <v>555</v>
      </c>
      <c r="X209" s="280">
        <f t="shared" si="6"/>
        <v>10</v>
      </c>
    </row>
    <row r="210" spans="1:24" ht="76.5" customHeight="1" x14ac:dyDescent="0.2">
      <c r="A210" s="280" t="s">
        <v>272</v>
      </c>
      <c r="B210" s="280" t="s">
        <v>1325</v>
      </c>
      <c r="C210" s="280">
        <v>0</v>
      </c>
      <c r="D210" s="280">
        <v>0</v>
      </c>
      <c r="E210" s="280">
        <v>0</v>
      </c>
      <c r="F210" s="280">
        <v>0</v>
      </c>
      <c r="G210" s="280">
        <v>0</v>
      </c>
      <c r="H210" s="280">
        <v>1</v>
      </c>
      <c r="I210" s="280">
        <v>0</v>
      </c>
      <c r="J210" s="280">
        <v>1</v>
      </c>
      <c r="K210" s="280"/>
      <c r="L210" s="280" t="s">
        <v>1297</v>
      </c>
      <c r="M210" s="280" t="s">
        <v>538</v>
      </c>
      <c r="N210" s="280" t="s">
        <v>1298</v>
      </c>
      <c r="O210" s="280" t="s">
        <v>1299</v>
      </c>
      <c r="P210" s="280" t="s">
        <v>1299</v>
      </c>
      <c r="Q210" s="280" t="s">
        <v>1299</v>
      </c>
      <c r="R210" s="280"/>
      <c r="S210" s="280" t="s">
        <v>1300</v>
      </c>
      <c r="T210" s="280" t="s">
        <v>1301</v>
      </c>
      <c r="U210" s="280" t="s">
        <v>30</v>
      </c>
      <c r="V210" s="280" t="s">
        <v>538</v>
      </c>
      <c r="W210" s="280" t="s">
        <v>555</v>
      </c>
      <c r="X210" s="280">
        <f t="shared" si="6"/>
        <v>10</v>
      </c>
    </row>
    <row r="211" spans="1:24" ht="76.5" customHeight="1" x14ac:dyDescent="0.2">
      <c r="A211" s="280" t="s">
        <v>273</v>
      </c>
      <c r="B211" s="280" t="s">
        <v>1326</v>
      </c>
      <c r="C211" s="280">
        <v>0</v>
      </c>
      <c r="D211" s="280">
        <v>0</v>
      </c>
      <c r="E211" s="280">
        <v>0</v>
      </c>
      <c r="F211" s="280">
        <v>0</v>
      </c>
      <c r="G211" s="280">
        <v>0</v>
      </c>
      <c r="H211" s="280">
        <v>1</v>
      </c>
      <c r="I211" s="280">
        <v>0</v>
      </c>
      <c r="J211" s="280">
        <v>1</v>
      </c>
      <c r="K211" s="280"/>
      <c r="L211" s="280" t="s">
        <v>1297</v>
      </c>
      <c r="M211" s="280" t="s">
        <v>538</v>
      </c>
      <c r="N211" s="280" t="s">
        <v>1298</v>
      </c>
      <c r="O211" s="280" t="s">
        <v>1299</v>
      </c>
      <c r="P211" s="280" t="s">
        <v>1299</v>
      </c>
      <c r="Q211" s="280" t="s">
        <v>1299</v>
      </c>
      <c r="R211" s="280"/>
      <c r="S211" s="280" t="s">
        <v>1300</v>
      </c>
      <c r="T211" s="280" t="s">
        <v>1301</v>
      </c>
      <c r="U211" s="280" t="s">
        <v>30</v>
      </c>
      <c r="V211" s="280" t="s">
        <v>538</v>
      </c>
      <c r="W211" s="280" t="s">
        <v>555</v>
      </c>
      <c r="X211" s="280">
        <f t="shared" si="6"/>
        <v>10</v>
      </c>
    </row>
    <row r="212" spans="1:24" ht="76.5" customHeight="1" x14ac:dyDescent="0.2">
      <c r="A212" s="280" t="s">
        <v>274</v>
      </c>
      <c r="B212" s="280" t="s">
        <v>1327</v>
      </c>
      <c r="C212" s="280">
        <v>0</v>
      </c>
      <c r="D212" s="280">
        <v>0</v>
      </c>
      <c r="E212" s="280">
        <v>0</v>
      </c>
      <c r="F212" s="280">
        <v>0</v>
      </c>
      <c r="G212" s="280">
        <v>0</v>
      </c>
      <c r="H212" s="280">
        <v>1</v>
      </c>
      <c r="I212" s="280">
        <v>0</v>
      </c>
      <c r="J212" s="280">
        <v>1</v>
      </c>
      <c r="K212" s="280"/>
      <c r="L212" s="280" t="s">
        <v>1297</v>
      </c>
      <c r="M212" s="280" t="s">
        <v>538</v>
      </c>
      <c r="N212" s="280" t="s">
        <v>1298</v>
      </c>
      <c r="O212" s="280" t="s">
        <v>1299</v>
      </c>
      <c r="P212" s="280" t="s">
        <v>1299</v>
      </c>
      <c r="Q212" s="280" t="s">
        <v>1299</v>
      </c>
      <c r="R212" s="280"/>
      <c r="S212" s="280" t="s">
        <v>1300</v>
      </c>
      <c r="T212" s="280" t="s">
        <v>1301</v>
      </c>
      <c r="U212" s="280" t="s">
        <v>30</v>
      </c>
      <c r="V212" s="280" t="s">
        <v>538</v>
      </c>
      <c r="W212" s="280" t="s">
        <v>555</v>
      </c>
      <c r="X212" s="280">
        <f t="shared" si="6"/>
        <v>10</v>
      </c>
    </row>
    <row r="213" spans="1:24" ht="76.5" customHeight="1" x14ac:dyDescent="0.2">
      <c r="A213" s="280" t="s">
        <v>275</v>
      </c>
      <c r="B213" s="280" t="s">
        <v>1328</v>
      </c>
      <c r="C213" s="280">
        <v>0</v>
      </c>
      <c r="D213" s="280">
        <v>0</v>
      </c>
      <c r="E213" s="280">
        <v>0</v>
      </c>
      <c r="F213" s="280">
        <v>0</v>
      </c>
      <c r="G213" s="280">
        <v>0</v>
      </c>
      <c r="H213" s="280">
        <v>1</v>
      </c>
      <c r="I213" s="280">
        <v>0</v>
      </c>
      <c r="J213" s="280">
        <v>1</v>
      </c>
      <c r="K213" s="280"/>
      <c r="L213" s="280" t="s">
        <v>1297</v>
      </c>
      <c r="M213" s="280" t="s">
        <v>538</v>
      </c>
      <c r="N213" s="280" t="s">
        <v>1298</v>
      </c>
      <c r="O213" s="280" t="s">
        <v>1299</v>
      </c>
      <c r="P213" s="280" t="s">
        <v>1299</v>
      </c>
      <c r="Q213" s="280" t="s">
        <v>1299</v>
      </c>
      <c r="R213" s="280"/>
      <c r="S213" s="280" t="s">
        <v>1300</v>
      </c>
      <c r="T213" s="280" t="s">
        <v>1301</v>
      </c>
      <c r="U213" s="280" t="s">
        <v>30</v>
      </c>
      <c r="V213" s="280" t="s">
        <v>538</v>
      </c>
      <c r="W213" s="280" t="s">
        <v>555</v>
      </c>
      <c r="X213" s="280">
        <f t="shared" si="6"/>
        <v>10</v>
      </c>
    </row>
    <row r="214" spans="1:24" ht="76.5" customHeight="1" x14ac:dyDescent="0.2">
      <c r="A214" s="280" t="s">
        <v>276</v>
      </c>
      <c r="B214" s="280" t="s">
        <v>1329</v>
      </c>
      <c r="C214" s="280">
        <v>0</v>
      </c>
      <c r="D214" s="280">
        <v>0</v>
      </c>
      <c r="E214" s="280">
        <v>0</v>
      </c>
      <c r="F214" s="280">
        <v>0</v>
      </c>
      <c r="G214" s="280">
        <v>0</v>
      </c>
      <c r="H214" s="280">
        <v>1</v>
      </c>
      <c r="I214" s="280">
        <v>0</v>
      </c>
      <c r="J214" s="280">
        <v>1</v>
      </c>
      <c r="K214" s="280"/>
      <c r="L214" s="280" t="s">
        <v>1297</v>
      </c>
      <c r="M214" s="280" t="s">
        <v>538</v>
      </c>
      <c r="N214" s="280" t="s">
        <v>1298</v>
      </c>
      <c r="O214" s="280" t="s">
        <v>1299</v>
      </c>
      <c r="P214" s="280" t="s">
        <v>1299</v>
      </c>
      <c r="Q214" s="280" t="s">
        <v>1299</v>
      </c>
      <c r="R214" s="280"/>
      <c r="S214" s="280" t="s">
        <v>1300</v>
      </c>
      <c r="T214" s="280" t="s">
        <v>1301</v>
      </c>
      <c r="U214" s="280" t="s">
        <v>30</v>
      </c>
      <c r="V214" s="280" t="s">
        <v>538</v>
      </c>
      <c r="W214" s="280" t="s">
        <v>555</v>
      </c>
      <c r="X214" s="280">
        <f t="shared" si="6"/>
        <v>10</v>
      </c>
    </row>
    <row r="215" spans="1:24" ht="76.5" customHeight="1" x14ac:dyDescent="0.2">
      <c r="A215" s="280" t="s">
        <v>277</v>
      </c>
      <c r="B215" s="280" t="s">
        <v>1330</v>
      </c>
      <c r="C215" s="280">
        <v>0</v>
      </c>
      <c r="D215" s="280">
        <v>0</v>
      </c>
      <c r="E215" s="280">
        <v>0</v>
      </c>
      <c r="F215" s="280">
        <v>0</v>
      </c>
      <c r="G215" s="280">
        <v>0</v>
      </c>
      <c r="H215" s="280">
        <v>1</v>
      </c>
      <c r="I215" s="280">
        <v>0</v>
      </c>
      <c r="J215" s="280">
        <v>1</v>
      </c>
      <c r="K215" s="280"/>
      <c r="L215" s="280" t="s">
        <v>1297</v>
      </c>
      <c r="M215" s="280" t="s">
        <v>538</v>
      </c>
      <c r="N215" s="280" t="s">
        <v>1298</v>
      </c>
      <c r="O215" s="280" t="s">
        <v>1299</v>
      </c>
      <c r="P215" s="280" t="s">
        <v>1299</v>
      </c>
      <c r="Q215" s="280" t="s">
        <v>1299</v>
      </c>
      <c r="R215" s="280"/>
      <c r="S215" s="280" t="s">
        <v>1300</v>
      </c>
      <c r="T215" s="280" t="s">
        <v>1301</v>
      </c>
      <c r="U215" s="280" t="s">
        <v>30</v>
      </c>
      <c r="V215" s="280" t="s">
        <v>538</v>
      </c>
      <c r="W215" s="280" t="s">
        <v>564</v>
      </c>
      <c r="X215" s="280">
        <f t="shared" si="6"/>
        <v>5</v>
      </c>
    </row>
    <row r="216" spans="1:24" ht="60.75" customHeight="1" x14ac:dyDescent="0.2">
      <c r="A216" s="281" t="s">
        <v>278</v>
      </c>
      <c r="B216" s="281" t="s">
        <v>1331</v>
      </c>
      <c r="C216" s="280">
        <v>0</v>
      </c>
      <c r="D216" s="280">
        <v>0</v>
      </c>
      <c r="E216" s="280">
        <v>0</v>
      </c>
      <c r="F216" s="280">
        <v>0</v>
      </c>
      <c r="G216" s="280">
        <v>0</v>
      </c>
      <c r="H216" s="280">
        <v>1</v>
      </c>
      <c r="I216" s="280">
        <v>0</v>
      </c>
      <c r="J216" s="280">
        <v>1</v>
      </c>
      <c r="K216" s="280"/>
      <c r="L216" s="280" t="s">
        <v>727</v>
      </c>
      <c r="M216" s="280" t="s">
        <v>538</v>
      </c>
      <c r="N216" s="280" t="s">
        <v>1332</v>
      </c>
      <c r="O216" s="280" t="s">
        <v>1333</v>
      </c>
      <c r="P216" s="280" t="s">
        <v>1333</v>
      </c>
      <c r="Q216" s="280" t="s">
        <v>1333</v>
      </c>
      <c r="R216" s="280"/>
      <c r="S216" s="280" t="s">
        <v>1334</v>
      </c>
      <c r="T216" s="280" t="s">
        <v>1335</v>
      </c>
      <c r="U216" s="280" t="s">
        <v>30</v>
      </c>
      <c r="V216" s="280" t="s">
        <v>538</v>
      </c>
      <c r="W216" s="280" t="s">
        <v>606</v>
      </c>
      <c r="X216" s="280">
        <f t="shared" si="6"/>
        <v>20</v>
      </c>
    </row>
    <row r="217" spans="1:24" ht="55.5" customHeight="1" x14ac:dyDescent="0.2">
      <c r="A217" s="281" t="s">
        <v>279</v>
      </c>
      <c r="B217" s="281" t="s">
        <v>1336</v>
      </c>
      <c r="C217" s="280">
        <v>0</v>
      </c>
      <c r="D217" s="280">
        <v>0</v>
      </c>
      <c r="E217" s="280">
        <v>0</v>
      </c>
      <c r="F217" s="280">
        <v>0</v>
      </c>
      <c r="G217" s="280">
        <v>0</v>
      </c>
      <c r="H217" s="280">
        <v>1</v>
      </c>
      <c r="I217" s="280">
        <v>0</v>
      </c>
      <c r="J217" s="280">
        <v>1</v>
      </c>
      <c r="K217" s="280"/>
      <c r="L217" s="280" t="s">
        <v>727</v>
      </c>
      <c r="M217" s="280" t="s">
        <v>538</v>
      </c>
      <c r="N217" s="280" t="s">
        <v>1332</v>
      </c>
      <c r="O217" s="280" t="s">
        <v>1333</v>
      </c>
      <c r="P217" s="280" t="s">
        <v>1333</v>
      </c>
      <c r="Q217" s="280" t="s">
        <v>1333</v>
      </c>
      <c r="R217" s="280"/>
      <c r="S217" s="280" t="s">
        <v>1334</v>
      </c>
      <c r="T217" s="280" t="s">
        <v>1335</v>
      </c>
      <c r="U217" s="280" t="s">
        <v>26</v>
      </c>
      <c r="V217" s="280" t="s">
        <v>538</v>
      </c>
      <c r="W217" s="280" t="s">
        <v>606</v>
      </c>
      <c r="X217" s="280">
        <f t="shared" si="6"/>
        <v>20</v>
      </c>
    </row>
    <row r="218" spans="1:24" ht="55.5" customHeight="1" x14ac:dyDescent="0.2">
      <c r="A218" s="281" t="s">
        <v>280</v>
      </c>
      <c r="B218" s="281" t="s">
        <v>1337</v>
      </c>
      <c r="C218" s="280">
        <v>0</v>
      </c>
      <c r="D218" s="280">
        <v>0</v>
      </c>
      <c r="E218" s="280">
        <v>0</v>
      </c>
      <c r="F218" s="280">
        <v>0</v>
      </c>
      <c r="G218" s="280">
        <v>0</v>
      </c>
      <c r="H218" s="280">
        <v>1</v>
      </c>
      <c r="I218" s="280">
        <v>0</v>
      </c>
      <c r="J218" s="280">
        <v>1</v>
      </c>
      <c r="K218" s="280"/>
      <c r="L218" s="280" t="s">
        <v>727</v>
      </c>
      <c r="M218" s="280" t="s">
        <v>538</v>
      </c>
      <c r="N218" s="280" t="s">
        <v>1332</v>
      </c>
      <c r="O218" s="280" t="s">
        <v>1333</v>
      </c>
      <c r="P218" s="280" t="s">
        <v>1333</v>
      </c>
      <c r="Q218" s="280" t="s">
        <v>1333</v>
      </c>
      <c r="R218" s="280"/>
      <c r="S218" s="280" t="s">
        <v>1334</v>
      </c>
      <c r="T218" s="280" t="s">
        <v>1335</v>
      </c>
      <c r="U218" s="280" t="s">
        <v>26</v>
      </c>
      <c r="V218" s="280" t="s">
        <v>538</v>
      </c>
      <c r="W218" s="280" t="s">
        <v>606</v>
      </c>
      <c r="X218" s="280">
        <f t="shared" si="6"/>
        <v>20</v>
      </c>
    </row>
    <row r="219" spans="1:24" ht="55.5" customHeight="1" x14ac:dyDescent="0.2">
      <c r="A219" s="280" t="s">
        <v>281</v>
      </c>
      <c r="B219" s="280" t="s">
        <v>1338</v>
      </c>
      <c r="C219" s="280">
        <v>0</v>
      </c>
      <c r="D219" s="280">
        <v>0</v>
      </c>
      <c r="E219" s="280">
        <v>0</v>
      </c>
      <c r="F219" s="280">
        <v>0</v>
      </c>
      <c r="G219" s="280">
        <v>0</v>
      </c>
      <c r="H219" s="280">
        <v>1</v>
      </c>
      <c r="I219" s="280">
        <v>0</v>
      </c>
      <c r="J219" s="280">
        <v>1</v>
      </c>
      <c r="K219" s="280"/>
      <c r="L219" s="280" t="s">
        <v>727</v>
      </c>
      <c r="M219" s="280" t="s">
        <v>538</v>
      </c>
      <c r="N219" s="280" t="s">
        <v>1332</v>
      </c>
      <c r="O219" s="280" t="s">
        <v>1333</v>
      </c>
      <c r="P219" s="280" t="s">
        <v>1333</v>
      </c>
      <c r="Q219" s="280" t="s">
        <v>1333</v>
      </c>
      <c r="R219" s="280"/>
      <c r="S219" s="280" t="s">
        <v>1334</v>
      </c>
      <c r="T219" s="280" t="s">
        <v>1335</v>
      </c>
      <c r="U219" s="280" t="s">
        <v>30</v>
      </c>
      <c r="V219" s="280" t="s">
        <v>538</v>
      </c>
      <c r="W219" s="280" t="s">
        <v>555</v>
      </c>
      <c r="X219" s="280">
        <f t="shared" si="6"/>
        <v>10</v>
      </c>
    </row>
    <row r="220" spans="1:24" ht="55.5" customHeight="1" x14ac:dyDescent="0.2">
      <c r="A220" s="280" t="s">
        <v>282</v>
      </c>
      <c r="B220" s="280" t="s">
        <v>1339</v>
      </c>
      <c r="C220" s="280">
        <v>0</v>
      </c>
      <c r="D220" s="280">
        <v>0</v>
      </c>
      <c r="E220" s="280">
        <v>0</v>
      </c>
      <c r="F220" s="280">
        <v>0</v>
      </c>
      <c r="G220" s="280">
        <v>0</v>
      </c>
      <c r="H220" s="280">
        <v>1</v>
      </c>
      <c r="I220" s="280">
        <v>0</v>
      </c>
      <c r="J220" s="280">
        <v>1</v>
      </c>
      <c r="K220" s="280"/>
      <c r="L220" s="280" t="s">
        <v>727</v>
      </c>
      <c r="M220" s="280" t="s">
        <v>538</v>
      </c>
      <c r="N220" s="280" t="s">
        <v>1332</v>
      </c>
      <c r="O220" s="280" t="s">
        <v>1333</v>
      </c>
      <c r="P220" s="280" t="s">
        <v>1333</v>
      </c>
      <c r="Q220" s="280" t="s">
        <v>1333</v>
      </c>
      <c r="R220" s="280"/>
      <c r="S220" s="280" t="s">
        <v>1334</v>
      </c>
      <c r="T220" s="280" t="s">
        <v>1335</v>
      </c>
      <c r="U220" s="280" t="s">
        <v>30</v>
      </c>
      <c r="V220" s="280" t="s">
        <v>538</v>
      </c>
      <c r="W220" s="280" t="s">
        <v>555</v>
      </c>
      <c r="X220" s="280">
        <f t="shared" si="6"/>
        <v>10</v>
      </c>
    </row>
    <row r="221" spans="1:24" ht="55.5" customHeight="1" x14ac:dyDescent="0.2">
      <c r="A221" s="280" t="s">
        <v>283</v>
      </c>
      <c r="B221" s="280" t="s">
        <v>1340</v>
      </c>
      <c r="C221" s="280">
        <v>0</v>
      </c>
      <c r="D221" s="280">
        <v>0</v>
      </c>
      <c r="E221" s="280">
        <v>0</v>
      </c>
      <c r="F221" s="280">
        <v>0</v>
      </c>
      <c r="G221" s="280">
        <v>0</v>
      </c>
      <c r="H221" s="280">
        <v>1</v>
      </c>
      <c r="I221" s="280">
        <v>0</v>
      </c>
      <c r="J221" s="280">
        <v>1</v>
      </c>
      <c r="K221" s="280"/>
      <c r="L221" s="280" t="s">
        <v>727</v>
      </c>
      <c r="M221" s="280" t="s">
        <v>538</v>
      </c>
      <c r="N221" s="280" t="s">
        <v>1332</v>
      </c>
      <c r="O221" s="280" t="s">
        <v>1333</v>
      </c>
      <c r="P221" s="280" t="s">
        <v>1333</v>
      </c>
      <c r="Q221" s="280" t="s">
        <v>1333</v>
      </c>
      <c r="R221" s="280"/>
      <c r="S221" s="280" t="s">
        <v>1334</v>
      </c>
      <c r="T221" s="280" t="s">
        <v>1335</v>
      </c>
      <c r="U221" s="280" t="s">
        <v>30</v>
      </c>
      <c r="V221" s="280" t="s">
        <v>538</v>
      </c>
      <c r="W221" s="280" t="s">
        <v>555</v>
      </c>
      <c r="X221" s="280">
        <f t="shared" si="6"/>
        <v>10</v>
      </c>
    </row>
    <row r="222" spans="1:24" ht="55.5" customHeight="1" x14ac:dyDescent="0.2">
      <c r="A222" s="280" t="s">
        <v>284</v>
      </c>
      <c r="B222" s="280" t="s">
        <v>1341</v>
      </c>
      <c r="C222" s="280">
        <v>0</v>
      </c>
      <c r="D222" s="280">
        <v>0</v>
      </c>
      <c r="E222" s="280">
        <v>0</v>
      </c>
      <c r="F222" s="280">
        <v>0</v>
      </c>
      <c r="G222" s="280">
        <v>0</v>
      </c>
      <c r="H222" s="280">
        <v>1</v>
      </c>
      <c r="I222" s="280">
        <v>0</v>
      </c>
      <c r="J222" s="280">
        <v>1</v>
      </c>
      <c r="K222" s="280"/>
      <c r="L222" s="280" t="s">
        <v>727</v>
      </c>
      <c r="M222" s="280" t="s">
        <v>538</v>
      </c>
      <c r="N222" s="280" t="s">
        <v>1332</v>
      </c>
      <c r="O222" s="280" t="s">
        <v>1333</v>
      </c>
      <c r="P222" s="280" t="s">
        <v>1333</v>
      </c>
      <c r="Q222" s="280" t="s">
        <v>1333</v>
      </c>
      <c r="R222" s="280"/>
      <c r="S222" s="280" t="s">
        <v>1334</v>
      </c>
      <c r="T222" s="280" t="s">
        <v>1335</v>
      </c>
      <c r="U222" s="280" t="s">
        <v>30</v>
      </c>
      <c r="V222" s="280" t="s">
        <v>538</v>
      </c>
      <c r="W222" s="280" t="s">
        <v>555</v>
      </c>
      <c r="X222" s="280">
        <f t="shared" si="6"/>
        <v>10</v>
      </c>
    </row>
    <row r="223" spans="1:24" ht="55.5" customHeight="1" x14ac:dyDescent="0.2">
      <c r="A223" s="280" t="s">
        <v>285</v>
      </c>
      <c r="B223" s="280" t="s">
        <v>1342</v>
      </c>
      <c r="C223" s="280">
        <v>0</v>
      </c>
      <c r="D223" s="280">
        <v>0</v>
      </c>
      <c r="E223" s="280">
        <v>0</v>
      </c>
      <c r="F223" s="280">
        <v>0</v>
      </c>
      <c r="G223" s="280">
        <v>0</v>
      </c>
      <c r="H223" s="280">
        <v>1</v>
      </c>
      <c r="I223" s="280">
        <v>0</v>
      </c>
      <c r="J223" s="280">
        <v>1</v>
      </c>
      <c r="K223" s="280"/>
      <c r="L223" s="280" t="s">
        <v>727</v>
      </c>
      <c r="M223" s="280" t="s">
        <v>538</v>
      </c>
      <c r="N223" s="280" t="s">
        <v>1332</v>
      </c>
      <c r="O223" s="280" t="s">
        <v>1333</v>
      </c>
      <c r="P223" s="280" t="s">
        <v>1333</v>
      </c>
      <c r="Q223" s="280" t="s">
        <v>1333</v>
      </c>
      <c r="R223" s="280"/>
      <c r="S223" s="280" t="s">
        <v>1334</v>
      </c>
      <c r="T223" s="280" t="s">
        <v>1335</v>
      </c>
      <c r="U223" s="280" t="s">
        <v>30</v>
      </c>
      <c r="V223" s="280" t="s">
        <v>538</v>
      </c>
      <c r="W223" s="280" t="s">
        <v>555</v>
      </c>
      <c r="X223" s="280">
        <f t="shared" si="6"/>
        <v>10</v>
      </c>
    </row>
    <row r="224" spans="1:24" ht="55.5" customHeight="1" x14ac:dyDescent="0.2">
      <c r="A224" s="280" t="s">
        <v>286</v>
      </c>
      <c r="B224" s="280" t="s">
        <v>1343</v>
      </c>
      <c r="C224" s="280">
        <v>0</v>
      </c>
      <c r="D224" s="280">
        <v>0</v>
      </c>
      <c r="E224" s="280">
        <v>0</v>
      </c>
      <c r="F224" s="280">
        <v>0</v>
      </c>
      <c r="G224" s="280">
        <v>0</v>
      </c>
      <c r="H224" s="280">
        <v>1</v>
      </c>
      <c r="I224" s="280">
        <v>0</v>
      </c>
      <c r="J224" s="280">
        <v>1</v>
      </c>
      <c r="K224" s="280"/>
      <c r="L224" s="280" t="s">
        <v>469</v>
      </c>
      <c r="M224" s="280" t="s">
        <v>538</v>
      </c>
      <c r="N224" s="280" t="s">
        <v>1332</v>
      </c>
      <c r="O224" s="280" t="s">
        <v>1333</v>
      </c>
      <c r="P224" s="280" t="s">
        <v>1333</v>
      </c>
      <c r="Q224" s="280" t="s">
        <v>1333</v>
      </c>
      <c r="R224" s="280"/>
      <c r="S224" s="280" t="s">
        <v>1334</v>
      </c>
      <c r="T224" s="280" t="s">
        <v>1335</v>
      </c>
      <c r="U224" s="280" t="s">
        <v>469</v>
      </c>
      <c r="V224" s="280" t="s">
        <v>538</v>
      </c>
      <c r="W224" s="280"/>
      <c r="X224" s="280"/>
    </row>
    <row r="225" spans="1:24" ht="55.5" customHeight="1" x14ac:dyDescent="0.2">
      <c r="A225" s="280" t="s">
        <v>287</v>
      </c>
      <c r="B225" s="280" t="s">
        <v>1344</v>
      </c>
      <c r="C225" s="280">
        <v>0</v>
      </c>
      <c r="D225" s="280">
        <v>0</v>
      </c>
      <c r="E225" s="280">
        <v>0</v>
      </c>
      <c r="F225" s="280">
        <v>0</v>
      </c>
      <c r="G225" s="280">
        <v>0</v>
      </c>
      <c r="H225" s="280">
        <v>1</v>
      </c>
      <c r="I225" s="280">
        <v>0</v>
      </c>
      <c r="J225" s="280">
        <v>1</v>
      </c>
      <c r="K225" s="280"/>
      <c r="L225" s="280" t="s">
        <v>469</v>
      </c>
      <c r="M225" s="280" t="s">
        <v>538</v>
      </c>
      <c r="N225" s="280" t="s">
        <v>1332</v>
      </c>
      <c r="O225" s="280" t="s">
        <v>1333</v>
      </c>
      <c r="P225" s="280" t="s">
        <v>1333</v>
      </c>
      <c r="Q225" s="280" t="s">
        <v>1333</v>
      </c>
      <c r="R225" s="280"/>
      <c r="S225" s="280" t="s">
        <v>1334</v>
      </c>
      <c r="T225" s="280" t="s">
        <v>1335</v>
      </c>
      <c r="U225" s="280" t="s">
        <v>469</v>
      </c>
      <c r="V225" s="280" t="s">
        <v>538</v>
      </c>
      <c r="W225" s="280"/>
      <c r="X225" s="280"/>
    </row>
    <row r="226" spans="1:24" ht="55.5" customHeight="1" x14ac:dyDescent="0.2">
      <c r="A226" s="280" t="s">
        <v>288</v>
      </c>
      <c r="B226" s="280" t="s">
        <v>1345</v>
      </c>
      <c r="C226" s="280">
        <v>0</v>
      </c>
      <c r="D226" s="280">
        <v>0</v>
      </c>
      <c r="E226" s="280">
        <v>0</v>
      </c>
      <c r="F226" s="280">
        <v>0</v>
      </c>
      <c r="G226" s="280">
        <v>0</v>
      </c>
      <c r="H226" s="280">
        <v>1</v>
      </c>
      <c r="I226" s="280">
        <v>0</v>
      </c>
      <c r="J226" s="280">
        <v>1</v>
      </c>
      <c r="K226" s="280"/>
      <c r="L226" s="280" t="s">
        <v>727</v>
      </c>
      <c r="M226" s="280" t="s">
        <v>538</v>
      </c>
      <c r="N226" s="280" t="s">
        <v>1332</v>
      </c>
      <c r="O226" s="280" t="s">
        <v>1333</v>
      </c>
      <c r="P226" s="280" t="s">
        <v>1333</v>
      </c>
      <c r="Q226" s="280" t="s">
        <v>1333</v>
      </c>
      <c r="R226" s="280"/>
      <c r="S226" s="280" t="s">
        <v>1334</v>
      </c>
      <c r="T226" s="280" t="s">
        <v>1335</v>
      </c>
      <c r="U226" s="280" t="s">
        <v>30</v>
      </c>
      <c r="V226" s="280" t="s">
        <v>538</v>
      </c>
      <c r="W226" s="280" t="s">
        <v>564</v>
      </c>
      <c r="X226" s="280">
        <f>IF($W226="Critical Importance",20,IF($W226="Minor Importance",5,10))</f>
        <v>5</v>
      </c>
    </row>
    <row r="227" spans="1:24" ht="69.75" customHeight="1" x14ac:dyDescent="0.2">
      <c r="A227" s="280" t="s">
        <v>289</v>
      </c>
      <c r="B227" s="280" t="s">
        <v>1346</v>
      </c>
      <c r="C227" s="280">
        <v>0</v>
      </c>
      <c r="D227" s="280">
        <v>0</v>
      </c>
      <c r="E227" s="280">
        <v>0</v>
      </c>
      <c r="F227" s="280">
        <v>0</v>
      </c>
      <c r="G227" s="280">
        <v>0</v>
      </c>
      <c r="H227" s="280">
        <v>1</v>
      </c>
      <c r="I227" s="280">
        <v>0</v>
      </c>
      <c r="J227" s="280">
        <v>1</v>
      </c>
      <c r="K227" s="280"/>
      <c r="L227" s="280" t="s">
        <v>469</v>
      </c>
      <c r="M227" s="280" t="s">
        <v>538</v>
      </c>
      <c r="N227" s="280" t="s">
        <v>1332</v>
      </c>
      <c r="O227" s="280" t="s">
        <v>1333</v>
      </c>
      <c r="P227" s="280" t="s">
        <v>1333</v>
      </c>
      <c r="Q227" s="280" t="s">
        <v>1333</v>
      </c>
      <c r="R227" s="280"/>
      <c r="S227" s="280" t="s">
        <v>1334</v>
      </c>
      <c r="T227" s="280" t="s">
        <v>1335</v>
      </c>
      <c r="U227" s="280" t="s">
        <v>469</v>
      </c>
      <c r="V227" s="280" t="s">
        <v>538</v>
      </c>
      <c r="W227" s="280"/>
      <c r="X227" s="280"/>
    </row>
    <row r="228" spans="1:24" ht="235.5" customHeight="1" x14ac:dyDescent="0.2">
      <c r="A228" s="283" t="s">
        <v>290</v>
      </c>
      <c r="B228" s="280" t="s">
        <v>1347</v>
      </c>
      <c r="C228" s="280">
        <v>0</v>
      </c>
      <c r="D228" s="280">
        <v>0</v>
      </c>
      <c r="E228" s="280">
        <v>0</v>
      </c>
      <c r="F228" s="280">
        <v>0</v>
      </c>
      <c r="G228" s="280">
        <v>0</v>
      </c>
      <c r="H228" s="280">
        <v>1</v>
      </c>
      <c r="I228" s="280">
        <v>0</v>
      </c>
      <c r="J228" s="280">
        <v>0</v>
      </c>
      <c r="K228" s="280"/>
      <c r="L228" s="280" t="s">
        <v>727</v>
      </c>
      <c r="M228" s="280"/>
      <c r="N228" s="280" t="s">
        <v>1348</v>
      </c>
      <c r="O228" s="280"/>
      <c r="P228" s="280" t="s">
        <v>1349</v>
      </c>
      <c r="Q228" s="280" t="s">
        <v>1350</v>
      </c>
      <c r="R228" s="280"/>
      <c r="S228" s="280" t="s">
        <v>1351</v>
      </c>
      <c r="T228" s="280" t="s">
        <v>1352</v>
      </c>
      <c r="U228" s="280" t="s">
        <v>30</v>
      </c>
      <c r="V228" s="280"/>
      <c r="W228" s="280" t="s">
        <v>555</v>
      </c>
      <c r="X228" s="280">
        <f t="shared" ref="X228:X234" si="7">IF($W228="Critical Importance",20,IF($W228="Minor Importance",5,10))</f>
        <v>10</v>
      </c>
    </row>
    <row r="229" spans="1:24" ht="231" customHeight="1" x14ac:dyDescent="0.2">
      <c r="A229" s="283" t="s">
        <v>291</v>
      </c>
      <c r="B229" s="280" t="s">
        <v>1353</v>
      </c>
      <c r="C229" s="280">
        <v>0</v>
      </c>
      <c r="D229" s="280">
        <v>0</v>
      </c>
      <c r="E229" s="280">
        <v>0</v>
      </c>
      <c r="F229" s="280">
        <v>0</v>
      </c>
      <c r="G229" s="280">
        <v>0</v>
      </c>
      <c r="H229" s="280">
        <v>1</v>
      </c>
      <c r="I229" s="280">
        <v>0</v>
      </c>
      <c r="J229" s="280">
        <v>0</v>
      </c>
      <c r="K229" s="280"/>
      <c r="L229" s="280" t="s">
        <v>727</v>
      </c>
      <c r="M229" s="280"/>
      <c r="N229" s="280" t="s">
        <v>1348</v>
      </c>
      <c r="O229" s="280"/>
      <c r="P229" s="280"/>
      <c r="Q229" s="280" t="s">
        <v>1354</v>
      </c>
      <c r="R229" s="280"/>
      <c r="S229" s="280" t="s">
        <v>1355</v>
      </c>
      <c r="T229" s="280" t="s">
        <v>1356</v>
      </c>
      <c r="U229" s="280" t="s">
        <v>26</v>
      </c>
      <c r="V229" s="280"/>
      <c r="W229" s="280" t="s">
        <v>555</v>
      </c>
      <c r="X229" s="280">
        <f t="shared" si="7"/>
        <v>10</v>
      </c>
    </row>
    <row r="230" spans="1:24" ht="195.75" customHeight="1" x14ac:dyDescent="0.2">
      <c r="A230" s="283" t="s">
        <v>292</v>
      </c>
      <c r="B230" s="280" t="s">
        <v>1357</v>
      </c>
      <c r="C230" s="280">
        <v>0</v>
      </c>
      <c r="D230" s="280">
        <v>0</v>
      </c>
      <c r="E230" s="280">
        <v>0</v>
      </c>
      <c r="F230" s="280">
        <v>0</v>
      </c>
      <c r="G230" s="280">
        <v>0</v>
      </c>
      <c r="H230" s="280">
        <v>1</v>
      </c>
      <c r="I230" s="280">
        <v>0</v>
      </c>
      <c r="J230" s="280">
        <v>0</v>
      </c>
      <c r="K230" s="280"/>
      <c r="L230" s="280" t="s">
        <v>727</v>
      </c>
      <c r="M230" s="280"/>
      <c r="N230" s="280" t="s">
        <v>1348</v>
      </c>
      <c r="O230" s="280"/>
      <c r="P230" s="280" t="s">
        <v>1358</v>
      </c>
      <c r="Q230" s="280" t="s">
        <v>1359</v>
      </c>
      <c r="R230" s="280"/>
      <c r="S230" s="280" t="s">
        <v>1360</v>
      </c>
      <c r="T230" s="280" t="s">
        <v>1361</v>
      </c>
      <c r="U230" s="280" t="s">
        <v>30</v>
      </c>
      <c r="V230" s="280"/>
      <c r="W230" s="280" t="s">
        <v>555</v>
      </c>
      <c r="X230" s="280">
        <f t="shared" si="7"/>
        <v>10</v>
      </c>
    </row>
    <row r="231" spans="1:24" ht="228.75" customHeight="1" x14ac:dyDescent="0.2">
      <c r="A231" s="283" t="s">
        <v>293</v>
      </c>
      <c r="B231" s="280" t="s">
        <v>1362</v>
      </c>
      <c r="C231" s="280">
        <v>0</v>
      </c>
      <c r="D231" s="280">
        <v>0</v>
      </c>
      <c r="E231" s="280">
        <v>0</v>
      </c>
      <c r="F231" s="280">
        <v>0</v>
      </c>
      <c r="G231" s="280">
        <v>0</v>
      </c>
      <c r="H231" s="280">
        <v>1</v>
      </c>
      <c r="I231" s="280">
        <v>0</v>
      </c>
      <c r="J231" s="280">
        <v>0</v>
      </c>
      <c r="K231" s="280"/>
      <c r="L231" s="280" t="s">
        <v>727</v>
      </c>
      <c r="M231" s="280"/>
      <c r="N231" s="280" t="s">
        <v>1348</v>
      </c>
      <c r="O231" s="280"/>
      <c r="P231" s="280"/>
      <c r="Q231" s="280" t="s">
        <v>1354</v>
      </c>
      <c r="R231" s="280"/>
      <c r="S231" s="280" t="s">
        <v>1363</v>
      </c>
      <c r="T231" s="280" t="s">
        <v>1356</v>
      </c>
      <c r="U231" s="280" t="s">
        <v>26</v>
      </c>
      <c r="V231" s="280"/>
      <c r="W231" s="280" t="s">
        <v>555</v>
      </c>
      <c r="X231" s="280">
        <f t="shared" si="7"/>
        <v>10</v>
      </c>
    </row>
    <row r="232" spans="1:24" ht="214.5" customHeight="1" x14ac:dyDescent="0.2">
      <c r="A232" s="283" t="s">
        <v>294</v>
      </c>
      <c r="B232" s="280" t="s">
        <v>1364</v>
      </c>
      <c r="C232" s="280">
        <v>0</v>
      </c>
      <c r="D232" s="280">
        <v>0</v>
      </c>
      <c r="E232" s="280">
        <v>0</v>
      </c>
      <c r="F232" s="280">
        <v>0</v>
      </c>
      <c r="G232" s="280">
        <v>0</v>
      </c>
      <c r="H232" s="280">
        <v>1</v>
      </c>
      <c r="I232" s="280">
        <v>0</v>
      </c>
      <c r="J232" s="280">
        <v>0</v>
      </c>
      <c r="K232" s="280"/>
      <c r="L232" s="280" t="s">
        <v>727</v>
      </c>
      <c r="M232" s="280"/>
      <c r="N232" s="280" t="s">
        <v>1348</v>
      </c>
      <c r="O232" s="280"/>
      <c r="P232" s="280"/>
      <c r="Q232" s="280" t="s">
        <v>1365</v>
      </c>
      <c r="R232" s="280" t="s">
        <v>732</v>
      </c>
      <c r="S232" s="280" t="s">
        <v>1366</v>
      </c>
      <c r="T232" s="280" t="s">
        <v>1367</v>
      </c>
      <c r="U232" s="280" t="s">
        <v>30</v>
      </c>
      <c r="V232" s="280"/>
      <c r="W232" s="280" t="s">
        <v>555</v>
      </c>
      <c r="X232" s="280">
        <f t="shared" si="7"/>
        <v>10</v>
      </c>
    </row>
    <row r="233" spans="1:24" ht="90" customHeight="1" x14ac:dyDescent="0.2">
      <c r="A233" s="283" t="s">
        <v>295</v>
      </c>
      <c r="B233" s="280" t="s">
        <v>1368</v>
      </c>
      <c r="C233" s="280">
        <v>0</v>
      </c>
      <c r="D233" s="280">
        <v>0</v>
      </c>
      <c r="E233" s="280">
        <v>0</v>
      </c>
      <c r="F233" s="280">
        <v>0</v>
      </c>
      <c r="G233" s="280">
        <v>0</v>
      </c>
      <c r="H233" s="280">
        <v>1</v>
      </c>
      <c r="I233" s="280">
        <v>0</v>
      </c>
      <c r="J233" s="280">
        <v>0</v>
      </c>
      <c r="K233" s="280"/>
      <c r="L233" s="280" t="s">
        <v>727</v>
      </c>
      <c r="M233" s="280"/>
      <c r="N233" s="280" t="s">
        <v>1348</v>
      </c>
      <c r="O233" s="280"/>
      <c r="P233" s="280" t="s">
        <v>1369</v>
      </c>
      <c r="Q233" s="280" t="s">
        <v>1370</v>
      </c>
      <c r="R233" s="280" t="s">
        <v>732</v>
      </c>
      <c r="S233" s="280" t="s">
        <v>1371</v>
      </c>
      <c r="T233" s="280" t="s">
        <v>1372</v>
      </c>
      <c r="U233" s="280" t="s">
        <v>30</v>
      </c>
      <c r="V233" s="280"/>
      <c r="W233" s="280" t="s">
        <v>555</v>
      </c>
      <c r="X233" s="280">
        <f t="shared" si="7"/>
        <v>10</v>
      </c>
    </row>
    <row r="234" spans="1:24" ht="139.5" customHeight="1" x14ac:dyDescent="0.2">
      <c r="A234" s="283" t="s">
        <v>296</v>
      </c>
      <c r="B234" s="280" t="s">
        <v>1373</v>
      </c>
      <c r="C234" s="280">
        <v>0</v>
      </c>
      <c r="D234" s="280">
        <v>0</v>
      </c>
      <c r="E234" s="280">
        <v>0</v>
      </c>
      <c r="F234" s="280">
        <v>0</v>
      </c>
      <c r="G234" s="280">
        <v>0</v>
      </c>
      <c r="H234" s="280">
        <v>1</v>
      </c>
      <c r="I234" s="280">
        <v>0</v>
      </c>
      <c r="J234" s="280">
        <v>0</v>
      </c>
      <c r="K234" s="280"/>
      <c r="L234" s="280" t="s">
        <v>727</v>
      </c>
      <c r="M234" s="280"/>
      <c r="N234" s="280" t="s">
        <v>1348</v>
      </c>
      <c r="O234" s="280"/>
      <c r="P234" s="280" t="s">
        <v>1374</v>
      </c>
      <c r="Q234" s="280" t="s">
        <v>1375</v>
      </c>
      <c r="R234" s="280"/>
      <c r="S234" s="280" t="s">
        <v>1376</v>
      </c>
      <c r="T234" s="280" t="s">
        <v>1377</v>
      </c>
      <c r="U234" s="280" t="s">
        <v>30</v>
      </c>
      <c r="V234" s="280"/>
      <c r="W234" s="280" t="s">
        <v>555</v>
      </c>
      <c r="X234" s="280">
        <f t="shared" si="7"/>
        <v>10</v>
      </c>
    </row>
    <row r="235" spans="1:24" ht="126" customHeight="1" x14ac:dyDescent="0.2">
      <c r="A235" s="283" t="s">
        <v>297</v>
      </c>
      <c r="B235" s="280" t="s">
        <v>1378</v>
      </c>
      <c r="C235" s="280">
        <v>0</v>
      </c>
      <c r="D235" s="280">
        <v>0</v>
      </c>
      <c r="E235" s="280">
        <v>0</v>
      </c>
      <c r="F235" s="280">
        <v>0</v>
      </c>
      <c r="G235" s="280">
        <v>0</v>
      </c>
      <c r="H235" s="280">
        <v>1</v>
      </c>
      <c r="I235" s="280">
        <v>0</v>
      </c>
      <c r="J235" s="280">
        <v>0</v>
      </c>
      <c r="K235" s="280"/>
      <c r="L235" s="280" t="s">
        <v>469</v>
      </c>
      <c r="M235" s="280"/>
      <c r="N235" s="280" t="s">
        <v>1348</v>
      </c>
      <c r="O235" s="280" t="s">
        <v>1379</v>
      </c>
      <c r="P235" s="280" t="s">
        <v>1379</v>
      </c>
      <c r="Q235" s="280" t="s">
        <v>1379</v>
      </c>
      <c r="R235" s="280"/>
      <c r="S235" s="280" t="s">
        <v>1380</v>
      </c>
      <c r="T235" s="280" t="s">
        <v>1381</v>
      </c>
      <c r="U235" s="280" t="s">
        <v>469</v>
      </c>
      <c r="V235" s="280"/>
      <c r="W235" s="280"/>
      <c r="X235" s="280"/>
    </row>
    <row r="236" spans="1:24" ht="168" customHeight="1" x14ac:dyDescent="0.2">
      <c r="A236" s="283" t="s">
        <v>298</v>
      </c>
      <c r="B236" s="280" t="s">
        <v>1382</v>
      </c>
      <c r="C236" s="280">
        <v>0</v>
      </c>
      <c r="D236" s="280">
        <v>0</v>
      </c>
      <c r="E236" s="280">
        <v>0</v>
      </c>
      <c r="F236" s="280">
        <v>0</v>
      </c>
      <c r="G236" s="280">
        <v>0</v>
      </c>
      <c r="H236" s="280">
        <v>1</v>
      </c>
      <c r="I236" s="280">
        <v>0</v>
      </c>
      <c r="J236" s="280">
        <v>0</v>
      </c>
      <c r="K236" s="280"/>
      <c r="L236" s="280" t="s">
        <v>469</v>
      </c>
      <c r="M236" s="280"/>
      <c r="N236" s="280" t="s">
        <v>1348</v>
      </c>
      <c r="O236" s="280" t="s">
        <v>1383</v>
      </c>
      <c r="P236" s="280" t="s">
        <v>1383</v>
      </c>
      <c r="Q236" s="280" t="s">
        <v>1383</v>
      </c>
      <c r="R236" s="280"/>
      <c r="S236" s="280" t="s">
        <v>1384</v>
      </c>
      <c r="T236" s="280" t="s">
        <v>1385</v>
      </c>
      <c r="U236" s="280" t="s">
        <v>469</v>
      </c>
      <c r="V236" s="280"/>
      <c r="W236" s="280"/>
      <c r="X236" s="280"/>
    </row>
    <row r="237" spans="1:24" ht="195.75" customHeight="1" x14ac:dyDescent="0.2">
      <c r="A237" s="283" t="s">
        <v>299</v>
      </c>
      <c r="B237" s="280" t="s">
        <v>1386</v>
      </c>
      <c r="C237" s="280">
        <v>0</v>
      </c>
      <c r="D237" s="280">
        <v>0</v>
      </c>
      <c r="E237" s="280">
        <v>0</v>
      </c>
      <c r="F237" s="280">
        <v>0</v>
      </c>
      <c r="G237" s="280">
        <v>0</v>
      </c>
      <c r="H237" s="280">
        <v>1</v>
      </c>
      <c r="I237" s="280">
        <v>0</v>
      </c>
      <c r="J237" s="280">
        <v>0</v>
      </c>
      <c r="K237" s="280"/>
      <c r="L237" s="280" t="s">
        <v>727</v>
      </c>
      <c r="M237" s="280"/>
      <c r="N237" s="280" t="s">
        <v>1348</v>
      </c>
      <c r="O237" s="280"/>
      <c r="P237" s="280" t="s">
        <v>1387</v>
      </c>
      <c r="Q237" s="280" t="s">
        <v>1388</v>
      </c>
      <c r="R237" s="280"/>
      <c r="S237" s="280" t="s">
        <v>1389</v>
      </c>
      <c r="T237" s="280" t="s">
        <v>1390</v>
      </c>
      <c r="U237" s="280" t="s">
        <v>30</v>
      </c>
      <c r="V237" s="280"/>
      <c r="W237" s="280" t="s">
        <v>564</v>
      </c>
      <c r="X237" s="280">
        <f>IF($W237="Critical Importance",20,IF($W237="Minor Importance",5,10))</f>
        <v>5</v>
      </c>
    </row>
    <row r="238" spans="1:24" ht="84" customHeight="1" x14ac:dyDescent="0.2">
      <c r="A238" s="282" t="s">
        <v>334</v>
      </c>
      <c r="B238" s="282" t="s">
        <v>1391</v>
      </c>
      <c r="C238" s="286">
        <v>0</v>
      </c>
      <c r="D238" s="286">
        <v>0</v>
      </c>
      <c r="E238" s="286">
        <v>0</v>
      </c>
      <c r="F238" s="286">
        <v>0</v>
      </c>
      <c r="G238" s="286">
        <v>0</v>
      </c>
      <c r="H238" s="286">
        <v>0</v>
      </c>
      <c r="I238" s="286">
        <v>0</v>
      </c>
      <c r="J238" s="286">
        <v>1</v>
      </c>
      <c r="K238" s="282" t="s">
        <v>535</v>
      </c>
      <c r="L238" s="282" t="s">
        <v>469</v>
      </c>
      <c r="M238" s="287"/>
      <c r="N238" s="287"/>
      <c r="O238" s="282" t="s">
        <v>1392</v>
      </c>
      <c r="P238" s="282" t="s">
        <v>1392</v>
      </c>
      <c r="Q238" s="282" t="s">
        <v>1393</v>
      </c>
      <c r="R238" s="287"/>
      <c r="S238" s="282" t="s">
        <v>1394</v>
      </c>
      <c r="T238" s="282" t="s">
        <v>1395</v>
      </c>
      <c r="U238" s="282" t="s">
        <v>469</v>
      </c>
      <c r="V238" s="287"/>
      <c r="W238" s="287"/>
      <c r="X238" s="286"/>
    </row>
    <row r="239" spans="1:24" ht="168" customHeight="1" x14ac:dyDescent="0.2">
      <c r="A239" s="282" t="s">
        <v>336</v>
      </c>
      <c r="B239" s="282" t="s">
        <v>1396</v>
      </c>
      <c r="C239" s="286">
        <v>0</v>
      </c>
      <c r="D239" s="286">
        <v>0</v>
      </c>
      <c r="E239" s="286">
        <v>0</v>
      </c>
      <c r="F239" s="286">
        <v>0</v>
      </c>
      <c r="G239" s="286">
        <v>0</v>
      </c>
      <c r="H239" s="286">
        <v>0</v>
      </c>
      <c r="I239" s="286">
        <v>0</v>
      </c>
      <c r="J239" s="286">
        <v>1</v>
      </c>
      <c r="K239" s="282" t="s">
        <v>535</v>
      </c>
      <c r="L239" s="282" t="s">
        <v>469</v>
      </c>
      <c r="M239" s="287"/>
      <c r="N239" s="287"/>
      <c r="O239" s="282" t="s">
        <v>1397</v>
      </c>
      <c r="P239" s="282" t="s">
        <v>1397</v>
      </c>
      <c r="Q239" s="282" t="s">
        <v>1398</v>
      </c>
      <c r="R239" s="287"/>
      <c r="S239" s="282" t="s">
        <v>1394</v>
      </c>
      <c r="T239" s="287"/>
      <c r="U239" s="282" t="s">
        <v>469</v>
      </c>
      <c r="V239" s="287"/>
      <c r="W239" s="287"/>
      <c r="X239" s="286"/>
    </row>
    <row r="240" spans="1:24" ht="69.75" customHeight="1" x14ac:dyDescent="0.2">
      <c r="A240" s="282" t="s">
        <v>338</v>
      </c>
      <c r="B240" s="282" t="s">
        <v>1399</v>
      </c>
      <c r="C240" s="286">
        <v>0</v>
      </c>
      <c r="D240" s="286">
        <v>0</v>
      </c>
      <c r="E240" s="286">
        <v>0</v>
      </c>
      <c r="F240" s="286">
        <v>0</v>
      </c>
      <c r="G240" s="286">
        <v>0</v>
      </c>
      <c r="H240" s="286">
        <v>0</v>
      </c>
      <c r="I240" s="286">
        <v>0</v>
      </c>
      <c r="J240" s="286">
        <v>1</v>
      </c>
      <c r="K240" s="282" t="s">
        <v>535</v>
      </c>
      <c r="L240" s="282" t="s">
        <v>469</v>
      </c>
      <c r="M240" s="287"/>
      <c r="N240" s="287"/>
      <c r="O240" s="287"/>
      <c r="P240" s="287"/>
      <c r="Q240" s="282" t="s">
        <v>1400</v>
      </c>
      <c r="R240" s="287"/>
      <c r="S240" s="282" t="s">
        <v>1394</v>
      </c>
      <c r="T240" s="287"/>
      <c r="U240" s="282" t="s">
        <v>469</v>
      </c>
      <c r="V240" s="287"/>
      <c r="W240" s="287"/>
      <c r="X240" s="286"/>
    </row>
    <row r="241" spans="1:24" ht="84" customHeight="1" x14ac:dyDescent="0.2">
      <c r="A241" s="282" t="s">
        <v>339</v>
      </c>
      <c r="B241" s="282" t="s">
        <v>1401</v>
      </c>
      <c r="C241" s="286">
        <v>0</v>
      </c>
      <c r="D241" s="286">
        <v>0</v>
      </c>
      <c r="E241" s="286">
        <v>0</v>
      </c>
      <c r="F241" s="286">
        <v>0</v>
      </c>
      <c r="G241" s="286">
        <v>0</v>
      </c>
      <c r="H241" s="286">
        <v>0</v>
      </c>
      <c r="I241" s="286">
        <v>0</v>
      </c>
      <c r="J241" s="286">
        <v>1</v>
      </c>
      <c r="K241" s="282" t="s">
        <v>535</v>
      </c>
      <c r="L241" s="282" t="s">
        <v>469</v>
      </c>
      <c r="M241" s="287"/>
      <c r="N241" s="287"/>
      <c r="O241" s="287"/>
      <c r="P241" s="287"/>
      <c r="Q241" s="282" t="s">
        <v>1402</v>
      </c>
      <c r="R241" s="287"/>
      <c r="S241" s="282" t="s">
        <v>1394</v>
      </c>
      <c r="T241" s="287"/>
      <c r="U241" s="282" t="s">
        <v>469</v>
      </c>
      <c r="V241" s="287"/>
      <c r="W241" s="287"/>
      <c r="X241" s="286"/>
    </row>
    <row r="242" spans="1:24" ht="84" customHeight="1" x14ac:dyDescent="0.2">
      <c r="A242" s="282" t="s">
        <v>341</v>
      </c>
      <c r="B242" s="282" t="s">
        <v>1403</v>
      </c>
      <c r="C242" s="286">
        <v>0</v>
      </c>
      <c r="D242" s="286">
        <v>0</v>
      </c>
      <c r="E242" s="286">
        <v>0</v>
      </c>
      <c r="F242" s="286">
        <v>0</v>
      </c>
      <c r="G242" s="286">
        <v>0</v>
      </c>
      <c r="H242" s="286">
        <v>0</v>
      </c>
      <c r="I242" s="286">
        <v>0</v>
      </c>
      <c r="J242" s="286">
        <v>1</v>
      </c>
      <c r="K242" s="282"/>
      <c r="L242" s="282" t="s">
        <v>469</v>
      </c>
      <c r="M242" s="287"/>
      <c r="N242" s="287"/>
      <c r="O242" s="282" t="s">
        <v>1404</v>
      </c>
      <c r="P242" s="282" t="s">
        <v>1404</v>
      </c>
      <c r="Q242" s="282" t="s">
        <v>1404</v>
      </c>
      <c r="R242" s="287"/>
      <c r="S242" s="287" t="s">
        <v>1405</v>
      </c>
      <c r="T242" s="287" t="s">
        <v>1406</v>
      </c>
      <c r="U242" s="288" t="s">
        <v>469</v>
      </c>
      <c r="V242" s="287"/>
      <c r="W242" s="282"/>
      <c r="X242" s="286"/>
    </row>
    <row r="243" spans="1:24" ht="84" customHeight="1" x14ac:dyDescent="0.2">
      <c r="A243" s="289" t="s">
        <v>343</v>
      </c>
      <c r="B243" s="289" t="s">
        <v>1407</v>
      </c>
      <c r="C243" s="286">
        <v>0</v>
      </c>
      <c r="D243" s="286">
        <v>0</v>
      </c>
      <c r="E243" s="286">
        <v>0</v>
      </c>
      <c r="F243" s="286">
        <v>0</v>
      </c>
      <c r="G243" s="286">
        <v>0</v>
      </c>
      <c r="H243" s="286">
        <v>0</v>
      </c>
      <c r="I243" s="286">
        <v>0</v>
      </c>
      <c r="J243" s="286">
        <v>1</v>
      </c>
      <c r="K243" s="287"/>
      <c r="L243" s="282" t="s">
        <v>521</v>
      </c>
      <c r="M243" s="287"/>
      <c r="N243" s="287"/>
      <c r="O243" s="287"/>
      <c r="P243" s="287"/>
      <c r="Q243" s="282" t="s">
        <v>1408</v>
      </c>
      <c r="R243" s="287"/>
      <c r="S243" s="282" t="s">
        <v>1409</v>
      </c>
      <c r="T243" s="287"/>
      <c r="U243" s="282" t="s">
        <v>26</v>
      </c>
      <c r="V243" s="287"/>
      <c r="W243" s="282" t="s">
        <v>606</v>
      </c>
      <c r="X243" s="286">
        <v>20</v>
      </c>
    </row>
    <row r="244" spans="1:24" ht="15.75" customHeight="1" x14ac:dyDescent="0.2">
      <c r="A244" s="282" t="s">
        <v>344</v>
      </c>
      <c r="B244" s="282" t="s">
        <v>1410</v>
      </c>
      <c r="C244" s="286">
        <v>0</v>
      </c>
      <c r="D244" s="286">
        <v>0</v>
      </c>
      <c r="E244" s="286">
        <v>0</v>
      </c>
      <c r="F244" s="286">
        <v>0</v>
      </c>
      <c r="G244" s="286">
        <v>0</v>
      </c>
      <c r="H244" s="286">
        <v>0</v>
      </c>
      <c r="I244" s="286">
        <v>0</v>
      </c>
      <c r="J244" s="286">
        <v>1</v>
      </c>
      <c r="K244" s="282"/>
      <c r="L244" s="282" t="s">
        <v>469</v>
      </c>
      <c r="M244" s="287"/>
      <c r="N244" s="287"/>
      <c r="O244" s="282" t="s">
        <v>1411</v>
      </c>
      <c r="P244" s="282"/>
      <c r="Q244" s="282"/>
      <c r="R244" s="287"/>
      <c r="S244" s="287" t="s">
        <v>1412</v>
      </c>
      <c r="T244" s="287"/>
      <c r="U244" s="288" t="s">
        <v>469</v>
      </c>
      <c r="V244" s="287"/>
      <c r="W244" s="282"/>
      <c r="X244" s="286"/>
    </row>
    <row r="245" spans="1:24" ht="84" customHeight="1" x14ac:dyDescent="0.2">
      <c r="A245" s="282" t="s">
        <v>346</v>
      </c>
      <c r="B245" s="282" t="s">
        <v>1413</v>
      </c>
      <c r="C245" s="286">
        <v>0</v>
      </c>
      <c r="D245" s="286">
        <v>0</v>
      </c>
      <c r="E245" s="286">
        <v>0</v>
      </c>
      <c r="F245" s="286">
        <v>0</v>
      </c>
      <c r="G245" s="286">
        <v>0</v>
      </c>
      <c r="H245" s="286">
        <v>0</v>
      </c>
      <c r="I245" s="286">
        <v>0</v>
      </c>
      <c r="J245" s="286">
        <v>1</v>
      </c>
      <c r="K245" s="287"/>
      <c r="L245" s="282" t="s">
        <v>521</v>
      </c>
      <c r="M245" s="287"/>
      <c r="N245" s="287"/>
      <c r="O245" s="287"/>
      <c r="P245" s="287"/>
      <c r="Q245" s="282" t="s">
        <v>1414</v>
      </c>
      <c r="R245" s="287"/>
      <c r="S245" s="282" t="s">
        <v>1415</v>
      </c>
      <c r="T245" s="287"/>
      <c r="U245" s="282" t="s">
        <v>26</v>
      </c>
      <c r="V245" s="287"/>
      <c r="W245" s="282" t="s">
        <v>564</v>
      </c>
      <c r="X245" s="286">
        <v>5</v>
      </c>
    </row>
    <row r="246" spans="1:24" ht="84" customHeight="1" x14ac:dyDescent="0.2">
      <c r="A246" s="282" t="s">
        <v>348</v>
      </c>
      <c r="B246" s="282" t="s">
        <v>1416</v>
      </c>
      <c r="C246" s="286">
        <v>0</v>
      </c>
      <c r="D246" s="286">
        <v>0</v>
      </c>
      <c r="E246" s="286">
        <v>0</v>
      </c>
      <c r="F246" s="286">
        <v>0</v>
      </c>
      <c r="G246" s="286">
        <v>0</v>
      </c>
      <c r="H246" s="286">
        <v>0</v>
      </c>
      <c r="I246" s="286">
        <v>0</v>
      </c>
      <c r="J246" s="286">
        <v>1</v>
      </c>
      <c r="K246" s="287"/>
      <c r="L246" s="282" t="s">
        <v>521</v>
      </c>
      <c r="M246" s="287"/>
      <c r="N246" s="287"/>
      <c r="O246" s="282" t="s">
        <v>1417</v>
      </c>
      <c r="P246" s="282" t="s">
        <v>1418</v>
      </c>
      <c r="Q246" s="282" t="s">
        <v>1419</v>
      </c>
      <c r="R246" s="287"/>
      <c r="S246" s="282" t="s">
        <v>1420</v>
      </c>
      <c r="T246" s="287"/>
      <c r="U246" s="282" t="s">
        <v>30</v>
      </c>
      <c r="V246" s="287"/>
      <c r="W246" s="282" t="s">
        <v>564</v>
      </c>
      <c r="X246" s="286">
        <v>5</v>
      </c>
    </row>
    <row r="247" spans="1:24" ht="252" customHeight="1" x14ac:dyDescent="0.2">
      <c r="A247" s="282" t="s">
        <v>349</v>
      </c>
      <c r="B247" s="282" t="s">
        <v>1421</v>
      </c>
      <c r="C247" s="286">
        <v>0</v>
      </c>
      <c r="D247" s="286">
        <v>0</v>
      </c>
      <c r="E247" s="286">
        <v>0</v>
      </c>
      <c r="F247" s="286">
        <v>0</v>
      </c>
      <c r="G247" s="286">
        <v>0</v>
      </c>
      <c r="H247" s="286">
        <v>0</v>
      </c>
      <c r="I247" s="286">
        <v>0</v>
      </c>
      <c r="J247" s="286">
        <v>1</v>
      </c>
      <c r="K247" s="282"/>
      <c r="L247" s="282" t="s">
        <v>469</v>
      </c>
      <c r="M247" s="287"/>
      <c r="N247" s="287"/>
      <c r="O247" s="282" t="s">
        <v>1422</v>
      </c>
      <c r="P247" s="282" t="s">
        <v>1423</v>
      </c>
      <c r="Q247" s="282" t="s">
        <v>1424</v>
      </c>
      <c r="R247" s="282" t="s">
        <v>704</v>
      </c>
      <c r="S247" s="282" t="s">
        <v>1425</v>
      </c>
      <c r="T247" s="287"/>
      <c r="U247" s="282" t="s">
        <v>469</v>
      </c>
      <c r="V247" s="287"/>
      <c r="W247" s="287"/>
      <c r="X247" s="286"/>
    </row>
    <row r="248" spans="1:24" ht="168" customHeight="1" x14ac:dyDescent="0.2">
      <c r="A248" s="282" t="s">
        <v>351</v>
      </c>
      <c r="B248" s="282" t="s">
        <v>1426</v>
      </c>
      <c r="C248" s="286">
        <v>0</v>
      </c>
      <c r="D248" s="286">
        <v>0</v>
      </c>
      <c r="E248" s="286">
        <v>0</v>
      </c>
      <c r="F248" s="286">
        <v>0</v>
      </c>
      <c r="G248" s="286">
        <v>0</v>
      </c>
      <c r="H248" s="286">
        <v>0</v>
      </c>
      <c r="I248" s="286">
        <v>0</v>
      </c>
      <c r="J248" s="286">
        <v>1</v>
      </c>
      <c r="K248" s="282"/>
      <c r="L248" s="282" t="s">
        <v>469</v>
      </c>
      <c r="M248" s="287"/>
      <c r="N248" s="287"/>
      <c r="O248" s="282" t="s">
        <v>1427</v>
      </c>
      <c r="P248" s="282" t="s">
        <v>1428</v>
      </c>
      <c r="Q248" s="282" t="s">
        <v>1429</v>
      </c>
      <c r="R248" s="282" t="s">
        <v>704</v>
      </c>
      <c r="S248" s="282" t="s">
        <v>1430</v>
      </c>
      <c r="T248" s="282" t="s">
        <v>1431</v>
      </c>
      <c r="U248" s="282" t="s">
        <v>469</v>
      </c>
      <c r="V248" s="287"/>
      <c r="W248" s="287"/>
      <c r="X248" s="286"/>
    </row>
    <row r="249" spans="1:24" ht="252" customHeight="1" x14ac:dyDescent="0.2">
      <c r="A249" s="282" t="s">
        <v>353</v>
      </c>
      <c r="B249" s="282" t="s">
        <v>1432</v>
      </c>
      <c r="C249" s="286">
        <v>0</v>
      </c>
      <c r="D249" s="286">
        <v>0</v>
      </c>
      <c r="E249" s="286">
        <v>0</v>
      </c>
      <c r="F249" s="286">
        <v>0</v>
      </c>
      <c r="G249" s="286">
        <v>0</v>
      </c>
      <c r="H249" s="286">
        <v>0</v>
      </c>
      <c r="I249" s="286">
        <v>0</v>
      </c>
      <c r="J249" s="286">
        <v>1</v>
      </c>
      <c r="K249" s="287"/>
      <c r="L249" s="282" t="s">
        <v>521</v>
      </c>
      <c r="M249" s="287"/>
      <c r="N249" s="287"/>
      <c r="O249" s="287"/>
      <c r="P249" s="282" t="s">
        <v>1433</v>
      </c>
      <c r="Q249" s="282" t="s">
        <v>1434</v>
      </c>
      <c r="R249" s="282" t="s">
        <v>704</v>
      </c>
      <c r="S249" s="282" t="s">
        <v>1435</v>
      </c>
      <c r="T249" s="282" t="s">
        <v>1436</v>
      </c>
      <c r="U249" s="282" t="s">
        <v>30</v>
      </c>
      <c r="V249" s="287"/>
      <c r="W249" s="282" t="s">
        <v>555</v>
      </c>
      <c r="X249" s="286">
        <v>10</v>
      </c>
    </row>
    <row r="250" spans="1:24" ht="153.75" customHeight="1" x14ac:dyDescent="0.2">
      <c r="A250" s="289" t="s">
        <v>354</v>
      </c>
      <c r="B250" s="289" t="s">
        <v>1437</v>
      </c>
      <c r="C250" s="286">
        <v>0</v>
      </c>
      <c r="D250" s="286">
        <v>0</v>
      </c>
      <c r="E250" s="286">
        <v>0</v>
      </c>
      <c r="F250" s="286">
        <v>0</v>
      </c>
      <c r="G250" s="286">
        <v>0</v>
      </c>
      <c r="H250" s="286">
        <v>0</v>
      </c>
      <c r="I250" s="286">
        <v>0</v>
      </c>
      <c r="J250" s="286">
        <v>1</v>
      </c>
      <c r="K250" s="287"/>
      <c r="L250" s="282" t="s">
        <v>521</v>
      </c>
      <c r="M250" s="287"/>
      <c r="N250" s="287"/>
      <c r="O250" s="282" t="s">
        <v>1438</v>
      </c>
      <c r="P250" s="282" t="s">
        <v>1439</v>
      </c>
      <c r="Q250" s="282" t="s">
        <v>1440</v>
      </c>
      <c r="R250" s="282" t="s">
        <v>704</v>
      </c>
      <c r="S250" s="282" t="s">
        <v>1441</v>
      </c>
      <c r="T250" s="287"/>
      <c r="U250" s="282" t="s">
        <v>30</v>
      </c>
      <c r="V250" s="287"/>
      <c r="W250" s="282" t="s">
        <v>606</v>
      </c>
      <c r="X250" s="286">
        <v>20</v>
      </c>
    </row>
    <row r="251" spans="1:24" ht="321.75" customHeight="1" x14ac:dyDescent="0.2">
      <c r="A251" s="282" t="s">
        <v>356</v>
      </c>
      <c r="B251" s="282" t="s">
        <v>1442</v>
      </c>
      <c r="C251" s="286">
        <v>0</v>
      </c>
      <c r="D251" s="286">
        <v>0</v>
      </c>
      <c r="E251" s="286">
        <v>0</v>
      </c>
      <c r="F251" s="286">
        <v>0</v>
      </c>
      <c r="G251" s="286">
        <v>0</v>
      </c>
      <c r="H251" s="286">
        <v>0</v>
      </c>
      <c r="I251" s="286">
        <v>0</v>
      </c>
      <c r="J251" s="286">
        <v>1</v>
      </c>
      <c r="K251" s="287"/>
      <c r="L251" s="282" t="s">
        <v>521</v>
      </c>
      <c r="M251" s="287"/>
      <c r="N251" s="287"/>
      <c r="O251" s="282" t="s">
        <v>1443</v>
      </c>
      <c r="P251" s="282" t="s">
        <v>1444</v>
      </c>
      <c r="Q251" s="282" t="s">
        <v>1445</v>
      </c>
      <c r="R251" s="280" t="s">
        <v>732</v>
      </c>
      <c r="S251" s="282" t="s">
        <v>1446</v>
      </c>
      <c r="T251" s="282" t="s">
        <v>1447</v>
      </c>
      <c r="U251" s="282" t="s">
        <v>30</v>
      </c>
      <c r="V251" s="287"/>
      <c r="W251" s="282" t="s">
        <v>564</v>
      </c>
      <c r="X251" s="286">
        <v>5</v>
      </c>
    </row>
    <row r="252" spans="1:24" ht="69.75" customHeight="1" x14ac:dyDescent="0.2">
      <c r="A252" s="282" t="s">
        <v>358</v>
      </c>
      <c r="B252" s="282" t="s">
        <v>1448</v>
      </c>
      <c r="C252" s="286">
        <v>0</v>
      </c>
      <c r="D252" s="286">
        <v>0</v>
      </c>
      <c r="E252" s="286">
        <v>0</v>
      </c>
      <c r="F252" s="286">
        <v>0</v>
      </c>
      <c r="G252" s="286">
        <v>0</v>
      </c>
      <c r="H252" s="286">
        <v>0</v>
      </c>
      <c r="I252" s="286">
        <v>0</v>
      </c>
      <c r="J252" s="286">
        <v>1</v>
      </c>
      <c r="K252" s="282"/>
      <c r="L252" s="282" t="s">
        <v>521</v>
      </c>
      <c r="M252" s="287"/>
      <c r="N252" s="287"/>
      <c r="O252" s="282" t="s">
        <v>1449</v>
      </c>
      <c r="P252" s="282" t="s">
        <v>1099</v>
      </c>
      <c r="Q252" s="282" t="s">
        <v>1450</v>
      </c>
      <c r="R252" s="287"/>
      <c r="S252" s="282" t="s">
        <v>1451</v>
      </c>
      <c r="T252" s="282" t="s">
        <v>1452</v>
      </c>
      <c r="U252" s="282" t="s">
        <v>30</v>
      </c>
      <c r="V252" s="287"/>
      <c r="W252" s="287" t="s">
        <v>555</v>
      </c>
      <c r="X252" s="286">
        <v>10</v>
      </c>
    </row>
    <row r="253" spans="1:24" ht="69.75" customHeight="1" x14ac:dyDescent="0.2">
      <c r="A253" s="282" t="s">
        <v>359</v>
      </c>
      <c r="B253" s="282" t="s">
        <v>1453</v>
      </c>
      <c r="C253" s="286">
        <v>0</v>
      </c>
      <c r="D253" s="286">
        <v>0</v>
      </c>
      <c r="E253" s="286">
        <v>0</v>
      </c>
      <c r="F253" s="286">
        <v>0</v>
      </c>
      <c r="G253" s="286">
        <v>0</v>
      </c>
      <c r="H253" s="286">
        <v>0</v>
      </c>
      <c r="I253" s="286">
        <v>0</v>
      </c>
      <c r="J253" s="286">
        <v>1</v>
      </c>
      <c r="K253" s="287"/>
      <c r="L253" s="282" t="s">
        <v>521</v>
      </c>
      <c r="M253" s="287"/>
      <c r="N253" s="287"/>
      <c r="O253" s="282" t="s">
        <v>1454</v>
      </c>
      <c r="P253" s="282" t="s">
        <v>1099</v>
      </c>
      <c r="Q253" s="282" t="s">
        <v>1455</v>
      </c>
      <c r="R253" s="287"/>
      <c r="S253" s="282" t="s">
        <v>1456</v>
      </c>
      <c r="T253" s="282" t="s">
        <v>1452</v>
      </c>
      <c r="U253" s="282" t="s">
        <v>30</v>
      </c>
      <c r="V253" s="287"/>
      <c r="W253" s="282" t="s">
        <v>564</v>
      </c>
      <c r="X253" s="286">
        <v>5</v>
      </c>
    </row>
    <row r="254" spans="1:24" ht="265.5" customHeight="1" x14ac:dyDescent="0.15">
      <c r="A254" s="289" t="s">
        <v>360</v>
      </c>
      <c r="B254" s="289" t="s">
        <v>1457</v>
      </c>
      <c r="C254" s="286">
        <v>0</v>
      </c>
      <c r="D254" s="286">
        <v>0</v>
      </c>
      <c r="E254" s="286">
        <v>0</v>
      </c>
      <c r="F254" s="286">
        <v>0</v>
      </c>
      <c r="G254" s="286">
        <v>0</v>
      </c>
      <c r="H254" s="286">
        <v>0</v>
      </c>
      <c r="I254" s="286">
        <v>0</v>
      </c>
      <c r="J254" s="286">
        <v>1</v>
      </c>
      <c r="K254" s="282"/>
      <c r="L254" s="282" t="s">
        <v>521</v>
      </c>
      <c r="M254" s="287"/>
      <c r="N254" s="287"/>
      <c r="O254" s="290" t="s">
        <v>1458</v>
      </c>
      <c r="P254" s="290" t="s">
        <v>1458</v>
      </c>
      <c r="Q254" s="282" t="s">
        <v>1459</v>
      </c>
      <c r="R254" s="287"/>
      <c r="S254" s="282" t="s">
        <v>1460</v>
      </c>
      <c r="T254" s="282" t="s">
        <v>1461</v>
      </c>
      <c r="U254" s="282" t="s">
        <v>26</v>
      </c>
      <c r="V254" s="287"/>
      <c r="W254" s="282" t="s">
        <v>606</v>
      </c>
      <c r="X254" s="286">
        <v>20</v>
      </c>
    </row>
    <row r="255" spans="1:24" ht="307.5" customHeight="1" x14ac:dyDescent="0.15">
      <c r="A255" s="289" t="s">
        <v>361</v>
      </c>
      <c r="B255" s="289" t="s">
        <v>1462</v>
      </c>
      <c r="C255" s="286">
        <v>0</v>
      </c>
      <c r="D255" s="286">
        <v>0</v>
      </c>
      <c r="E255" s="286">
        <v>0</v>
      </c>
      <c r="F255" s="286">
        <v>0</v>
      </c>
      <c r="G255" s="286">
        <v>0</v>
      </c>
      <c r="H255" s="286">
        <v>0</v>
      </c>
      <c r="I255" s="286">
        <v>0</v>
      </c>
      <c r="J255" s="286">
        <v>1</v>
      </c>
      <c r="K255" s="282"/>
      <c r="L255" s="282" t="s">
        <v>521</v>
      </c>
      <c r="M255" s="287"/>
      <c r="N255" s="287"/>
      <c r="O255" s="290" t="s">
        <v>1463</v>
      </c>
      <c r="P255" s="290" t="s">
        <v>1463</v>
      </c>
      <c r="Q255" s="282" t="s">
        <v>1464</v>
      </c>
      <c r="R255" s="287"/>
      <c r="S255" s="282" t="s">
        <v>1460</v>
      </c>
      <c r="T255" s="282" t="s">
        <v>1461</v>
      </c>
      <c r="U255" s="282" t="s">
        <v>26</v>
      </c>
      <c r="V255" s="287"/>
      <c r="W255" s="282" t="s">
        <v>606</v>
      </c>
      <c r="X255" s="286">
        <v>20</v>
      </c>
    </row>
    <row r="256" spans="1:24" ht="210" customHeight="1" x14ac:dyDescent="0.15">
      <c r="A256" s="289" t="s">
        <v>362</v>
      </c>
      <c r="B256" s="289" t="s">
        <v>1465</v>
      </c>
      <c r="C256" s="286">
        <v>0</v>
      </c>
      <c r="D256" s="286">
        <v>0</v>
      </c>
      <c r="E256" s="286">
        <v>0</v>
      </c>
      <c r="F256" s="286">
        <v>0</v>
      </c>
      <c r="G256" s="286">
        <v>0</v>
      </c>
      <c r="H256" s="286">
        <v>0</v>
      </c>
      <c r="I256" s="286">
        <v>0</v>
      </c>
      <c r="J256" s="286">
        <v>1</v>
      </c>
      <c r="K256" s="282"/>
      <c r="L256" s="282" t="s">
        <v>521</v>
      </c>
      <c r="M256" s="287"/>
      <c r="N256" s="287"/>
      <c r="O256" s="290" t="s">
        <v>1466</v>
      </c>
      <c r="P256" s="290" t="s">
        <v>1466</v>
      </c>
      <c r="Q256" s="282" t="s">
        <v>1467</v>
      </c>
      <c r="R256" s="287"/>
      <c r="S256" s="287" t="s">
        <v>1468</v>
      </c>
      <c r="T256" s="287" t="s">
        <v>1469</v>
      </c>
      <c r="U256" s="282" t="s">
        <v>26</v>
      </c>
      <c r="V256" s="287"/>
      <c r="W256" s="282" t="s">
        <v>606</v>
      </c>
      <c r="X256" s="286">
        <v>20</v>
      </c>
    </row>
    <row r="257" spans="1:24" ht="153.75" customHeight="1" x14ac:dyDescent="0.15">
      <c r="A257" s="282" t="s">
        <v>363</v>
      </c>
      <c r="B257" s="282" t="s">
        <v>1470</v>
      </c>
      <c r="C257" s="286">
        <v>0</v>
      </c>
      <c r="D257" s="286">
        <v>0</v>
      </c>
      <c r="E257" s="286">
        <v>0</v>
      </c>
      <c r="F257" s="286">
        <v>0</v>
      </c>
      <c r="G257" s="286">
        <v>0</v>
      </c>
      <c r="H257" s="286">
        <v>0</v>
      </c>
      <c r="I257" s="286">
        <v>0</v>
      </c>
      <c r="J257" s="286">
        <v>1</v>
      </c>
      <c r="K257" s="287"/>
      <c r="L257" s="282" t="s">
        <v>521</v>
      </c>
      <c r="M257" s="287"/>
      <c r="N257" s="287"/>
      <c r="O257" s="290" t="s">
        <v>1471</v>
      </c>
      <c r="P257" s="290" t="s">
        <v>1471</v>
      </c>
      <c r="Q257" s="290" t="s">
        <v>1472</v>
      </c>
      <c r="R257" s="287"/>
      <c r="S257" s="287" t="s">
        <v>1473</v>
      </c>
      <c r="T257" s="287" t="s">
        <v>1474</v>
      </c>
      <c r="U257" s="282" t="s">
        <v>26</v>
      </c>
      <c r="V257" s="287"/>
      <c r="W257" s="282" t="s">
        <v>564</v>
      </c>
      <c r="X257" s="286">
        <v>5</v>
      </c>
    </row>
    <row r="258" spans="1:24" ht="111.75" customHeight="1" x14ac:dyDescent="0.15">
      <c r="A258" s="282" t="s">
        <v>364</v>
      </c>
      <c r="B258" s="282" t="s">
        <v>1475</v>
      </c>
      <c r="C258" s="286">
        <v>0</v>
      </c>
      <c r="D258" s="286">
        <v>0</v>
      </c>
      <c r="E258" s="286">
        <v>0</v>
      </c>
      <c r="F258" s="286">
        <v>0</v>
      </c>
      <c r="G258" s="286">
        <v>0</v>
      </c>
      <c r="H258" s="286">
        <v>0</v>
      </c>
      <c r="I258" s="286">
        <v>0</v>
      </c>
      <c r="J258" s="286">
        <v>1</v>
      </c>
      <c r="K258" s="287"/>
      <c r="L258" s="282" t="s">
        <v>521</v>
      </c>
      <c r="M258" s="287"/>
      <c r="N258" s="287"/>
      <c r="O258" s="290" t="s">
        <v>1476</v>
      </c>
      <c r="P258" s="290" t="s">
        <v>1476</v>
      </c>
      <c r="Q258" s="282" t="s">
        <v>1477</v>
      </c>
      <c r="R258" s="287"/>
      <c r="S258" s="282" t="s">
        <v>1478</v>
      </c>
      <c r="T258" s="287"/>
      <c r="U258" s="282" t="s">
        <v>26</v>
      </c>
      <c r="V258" s="287"/>
      <c r="W258" s="282" t="s">
        <v>564</v>
      </c>
      <c r="X258" s="286">
        <v>5</v>
      </c>
    </row>
    <row r="259" spans="1:24" ht="55.5" customHeight="1" x14ac:dyDescent="0.15">
      <c r="A259" s="282" t="s">
        <v>366</v>
      </c>
      <c r="B259" s="282" t="s">
        <v>1479</v>
      </c>
      <c r="C259" s="286">
        <v>0</v>
      </c>
      <c r="D259" s="286">
        <v>0</v>
      </c>
      <c r="E259" s="286">
        <v>0</v>
      </c>
      <c r="F259" s="286">
        <v>0</v>
      </c>
      <c r="G259" s="286">
        <v>0</v>
      </c>
      <c r="H259" s="286">
        <v>0</v>
      </c>
      <c r="I259" s="286">
        <v>0</v>
      </c>
      <c r="J259" s="286">
        <v>1</v>
      </c>
      <c r="K259" s="287"/>
      <c r="L259" s="282" t="s">
        <v>521</v>
      </c>
      <c r="M259" s="287"/>
      <c r="N259" s="287"/>
      <c r="O259" s="290" t="s">
        <v>1480</v>
      </c>
      <c r="P259" s="290" t="s">
        <v>1480</v>
      </c>
      <c r="Q259" s="282" t="s">
        <v>1481</v>
      </c>
      <c r="R259" s="287"/>
      <c r="S259" s="290" t="s">
        <v>1480</v>
      </c>
      <c r="T259" s="287"/>
      <c r="U259" s="282" t="s">
        <v>26</v>
      </c>
      <c r="V259" s="287"/>
      <c r="W259" s="282" t="s">
        <v>564</v>
      </c>
      <c r="X259" s="286">
        <v>5</v>
      </c>
    </row>
    <row r="260" spans="1:24" ht="69.75" customHeight="1" x14ac:dyDescent="0.15">
      <c r="A260" s="282" t="s">
        <v>368</v>
      </c>
      <c r="B260" s="282" t="s">
        <v>1482</v>
      </c>
      <c r="C260" s="286">
        <v>0</v>
      </c>
      <c r="D260" s="286">
        <v>0</v>
      </c>
      <c r="E260" s="286">
        <v>0</v>
      </c>
      <c r="F260" s="286">
        <v>0</v>
      </c>
      <c r="G260" s="286">
        <v>0</v>
      </c>
      <c r="H260" s="286">
        <v>0</v>
      </c>
      <c r="I260" s="286">
        <v>0</v>
      </c>
      <c r="J260" s="286">
        <v>1</v>
      </c>
      <c r="K260" s="287"/>
      <c r="L260" s="282" t="s">
        <v>521</v>
      </c>
      <c r="M260" s="287"/>
      <c r="N260" s="287"/>
      <c r="O260" s="290" t="s">
        <v>1483</v>
      </c>
      <c r="P260" s="290" t="s">
        <v>1483</v>
      </c>
      <c r="Q260" s="282" t="s">
        <v>1484</v>
      </c>
      <c r="R260" s="287"/>
      <c r="S260" s="282" t="s">
        <v>1485</v>
      </c>
      <c r="T260" s="287"/>
      <c r="U260" s="282" t="s">
        <v>26</v>
      </c>
      <c r="V260" s="287"/>
      <c r="W260" s="282" t="s">
        <v>564</v>
      </c>
      <c r="X260" s="286">
        <v>5</v>
      </c>
    </row>
    <row r="261" spans="1:24" ht="69.75" customHeight="1" x14ac:dyDescent="0.15">
      <c r="A261" s="282" t="s">
        <v>370</v>
      </c>
      <c r="B261" s="282" t="s">
        <v>1486</v>
      </c>
      <c r="C261" s="286">
        <v>0</v>
      </c>
      <c r="D261" s="286">
        <v>0</v>
      </c>
      <c r="E261" s="286">
        <v>0</v>
      </c>
      <c r="F261" s="286">
        <v>0</v>
      </c>
      <c r="G261" s="286">
        <v>0</v>
      </c>
      <c r="H261" s="286">
        <v>0</v>
      </c>
      <c r="I261" s="286">
        <v>0</v>
      </c>
      <c r="J261" s="286">
        <v>1</v>
      </c>
      <c r="K261" s="282"/>
      <c r="L261" s="282" t="s">
        <v>469</v>
      </c>
      <c r="M261" s="287"/>
      <c r="N261" s="287"/>
      <c r="O261" s="291"/>
      <c r="P261" s="282" t="s">
        <v>1487</v>
      </c>
      <c r="Q261" s="287"/>
      <c r="R261" s="287"/>
      <c r="S261" s="282" t="s">
        <v>1488</v>
      </c>
      <c r="T261" s="287"/>
      <c r="U261" s="282" t="s">
        <v>469</v>
      </c>
      <c r="V261" s="287"/>
      <c r="W261" s="282"/>
      <c r="X261" s="286"/>
    </row>
    <row r="262" spans="1:24" ht="168" customHeight="1" x14ac:dyDescent="0.15">
      <c r="A262" s="282" t="s">
        <v>372</v>
      </c>
      <c r="B262" s="282" t="s">
        <v>1489</v>
      </c>
      <c r="C262" s="286">
        <v>0</v>
      </c>
      <c r="D262" s="286">
        <v>0</v>
      </c>
      <c r="E262" s="286">
        <v>0</v>
      </c>
      <c r="F262" s="286">
        <v>0</v>
      </c>
      <c r="G262" s="286">
        <v>0</v>
      </c>
      <c r="H262" s="286">
        <v>0</v>
      </c>
      <c r="I262" s="286">
        <v>0</v>
      </c>
      <c r="J262" s="286">
        <v>1</v>
      </c>
      <c r="K262" s="287"/>
      <c r="L262" s="282" t="s">
        <v>521</v>
      </c>
      <c r="M262" s="287"/>
      <c r="N262" s="287"/>
      <c r="O262" s="291"/>
      <c r="P262" s="282" t="s">
        <v>1490</v>
      </c>
      <c r="Q262" s="282" t="s">
        <v>1491</v>
      </c>
      <c r="R262" s="287"/>
      <c r="S262" s="282" t="s">
        <v>1492</v>
      </c>
      <c r="T262" s="292" t="s">
        <v>1493</v>
      </c>
      <c r="U262" s="282" t="s">
        <v>30</v>
      </c>
      <c r="V262" s="287"/>
      <c r="W262" s="282" t="s">
        <v>564</v>
      </c>
      <c r="X262" s="286">
        <v>5</v>
      </c>
    </row>
    <row r="263" spans="1:24" ht="181.5" customHeight="1" x14ac:dyDescent="0.2">
      <c r="A263" s="282" t="s">
        <v>373</v>
      </c>
      <c r="B263" s="282" t="s">
        <v>1494</v>
      </c>
      <c r="C263" s="286">
        <v>0</v>
      </c>
      <c r="D263" s="286">
        <v>0</v>
      </c>
      <c r="E263" s="286">
        <v>0</v>
      </c>
      <c r="F263" s="286">
        <v>0</v>
      </c>
      <c r="G263" s="286">
        <v>0</v>
      </c>
      <c r="H263" s="286">
        <v>0</v>
      </c>
      <c r="I263" s="286">
        <v>0</v>
      </c>
      <c r="J263" s="286">
        <v>1</v>
      </c>
      <c r="K263" s="287"/>
      <c r="L263" s="282" t="s">
        <v>521</v>
      </c>
      <c r="M263" s="287"/>
      <c r="N263" s="287"/>
      <c r="O263" s="282" t="s">
        <v>1495</v>
      </c>
      <c r="P263" s="282" t="s">
        <v>1496</v>
      </c>
      <c r="Q263" s="282" t="s">
        <v>1497</v>
      </c>
      <c r="R263" s="287"/>
      <c r="S263" s="282" t="s">
        <v>1498</v>
      </c>
      <c r="T263" s="287"/>
      <c r="U263" s="282" t="s">
        <v>30</v>
      </c>
      <c r="V263" s="287"/>
      <c r="W263" s="282" t="s">
        <v>564</v>
      </c>
      <c r="X263" s="286">
        <v>5</v>
      </c>
    </row>
    <row r="264" spans="1:24" ht="97.5" customHeight="1" x14ac:dyDescent="0.2">
      <c r="A264" s="282" t="s">
        <v>375</v>
      </c>
      <c r="B264" s="282" t="s">
        <v>1223</v>
      </c>
      <c r="C264" s="286">
        <v>0</v>
      </c>
      <c r="D264" s="286">
        <v>0</v>
      </c>
      <c r="E264" s="286">
        <v>0</v>
      </c>
      <c r="F264" s="286">
        <v>0</v>
      </c>
      <c r="G264" s="286">
        <v>0</v>
      </c>
      <c r="H264" s="286">
        <v>0</v>
      </c>
      <c r="I264" s="286">
        <v>0</v>
      </c>
      <c r="J264" s="286">
        <v>1</v>
      </c>
      <c r="K264" s="287"/>
      <c r="L264" s="282" t="s">
        <v>521</v>
      </c>
      <c r="M264" s="287"/>
      <c r="N264" s="287"/>
      <c r="O264" s="287"/>
      <c r="P264" s="282" t="s">
        <v>1499</v>
      </c>
      <c r="Q264" s="282" t="s">
        <v>1500</v>
      </c>
      <c r="R264" s="287"/>
      <c r="S264" s="282" t="s">
        <v>1501</v>
      </c>
      <c r="T264" s="282" t="s">
        <v>1502</v>
      </c>
      <c r="U264" s="282" t="s">
        <v>30</v>
      </c>
      <c r="V264" s="287"/>
      <c r="W264" s="282" t="s">
        <v>555</v>
      </c>
      <c r="X264" s="286">
        <v>10</v>
      </c>
    </row>
    <row r="265" spans="1:24" ht="97.5" customHeight="1" x14ac:dyDescent="0.2">
      <c r="A265" s="282" t="s">
        <v>376</v>
      </c>
      <c r="B265" s="282" t="s">
        <v>1503</v>
      </c>
      <c r="C265" s="286">
        <v>0</v>
      </c>
      <c r="D265" s="286">
        <v>0</v>
      </c>
      <c r="E265" s="286">
        <v>0</v>
      </c>
      <c r="F265" s="286">
        <v>0</v>
      </c>
      <c r="G265" s="286">
        <v>0</v>
      </c>
      <c r="H265" s="286">
        <v>0</v>
      </c>
      <c r="I265" s="286">
        <v>0</v>
      </c>
      <c r="J265" s="286">
        <v>1</v>
      </c>
      <c r="K265" s="287"/>
      <c r="L265" s="282" t="s">
        <v>521</v>
      </c>
      <c r="M265" s="287"/>
      <c r="N265" s="287"/>
      <c r="O265" s="282" t="s">
        <v>1504</v>
      </c>
      <c r="P265" s="282" t="s">
        <v>1505</v>
      </c>
      <c r="Q265" s="287"/>
      <c r="R265" s="287"/>
      <c r="S265" s="282" t="s">
        <v>1506</v>
      </c>
      <c r="T265" s="282" t="s">
        <v>1507</v>
      </c>
      <c r="U265" s="282" t="s">
        <v>30</v>
      </c>
      <c r="V265" s="287"/>
      <c r="W265" s="282" t="s">
        <v>564</v>
      </c>
      <c r="X265" s="286">
        <v>5</v>
      </c>
    </row>
    <row r="266" spans="1:24" ht="97.5" customHeight="1" x14ac:dyDescent="0.2">
      <c r="A266" s="282" t="s">
        <v>377</v>
      </c>
      <c r="B266" s="282" t="s">
        <v>1508</v>
      </c>
      <c r="C266" s="286">
        <v>0</v>
      </c>
      <c r="D266" s="286">
        <v>0</v>
      </c>
      <c r="E266" s="286">
        <v>0</v>
      </c>
      <c r="F266" s="286">
        <v>0</v>
      </c>
      <c r="G266" s="286">
        <v>0</v>
      </c>
      <c r="H266" s="286">
        <v>0</v>
      </c>
      <c r="I266" s="286">
        <v>0</v>
      </c>
      <c r="J266" s="286">
        <v>1</v>
      </c>
      <c r="K266" s="287"/>
      <c r="L266" s="282" t="s">
        <v>521</v>
      </c>
      <c r="M266" s="287"/>
      <c r="N266" s="287"/>
      <c r="O266" s="282" t="s">
        <v>1509</v>
      </c>
      <c r="P266" s="282" t="s">
        <v>1510</v>
      </c>
      <c r="Q266" s="287"/>
      <c r="R266" s="287"/>
      <c r="S266" s="282" t="s">
        <v>1511</v>
      </c>
      <c r="T266" s="282" t="s">
        <v>1512</v>
      </c>
      <c r="U266" s="282" t="s">
        <v>30</v>
      </c>
      <c r="V266" s="287"/>
      <c r="W266" s="282" t="s">
        <v>564</v>
      </c>
      <c r="X266" s="286">
        <v>5</v>
      </c>
    </row>
    <row r="267" spans="1:24" ht="210" customHeight="1" x14ac:dyDescent="0.2">
      <c r="A267" s="289" t="s">
        <v>379</v>
      </c>
      <c r="B267" s="289" t="s">
        <v>1513</v>
      </c>
      <c r="C267" s="286">
        <v>0</v>
      </c>
      <c r="D267" s="286">
        <v>0</v>
      </c>
      <c r="E267" s="286">
        <v>0</v>
      </c>
      <c r="F267" s="286">
        <v>0</v>
      </c>
      <c r="G267" s="286">
        <v>0</v>
      </c>
      <c r="H267" s="286">
        <v>0</v>
      </c>
      <c r="I267" s="286">
        <v>0</v>
      </c>
      <c r="J267" s="286">
        <v>1</v>
      </c>
      <c r="K267" s="287"/>
      <c r="L267" s="282" t="s">
        <v>521</v>
      </c>
      <c r="M267" s="287"/>
      <c r="N267" s="287"/>
      <c r="O267" s="282" t="s">
        <v>1514</v>
      </c>
      <c r="P267" s="282" t="s">
        <v>1515</v>
      </c>
      <c r="Q267" s="282" t="s">
        <v>1516</v>
      </c>
      <c r="R267" s="287"/>
      <c r="S267" s="282" t="s">
        <v>1517</v>
      </c>
      <c r="T267" s="287"/>
      <c r="U267" s="282" t="s">
        <v>30</v>
      </c>
      <c r="V267" s="287"/>
      <c r="W267" s="282" t="s">
        <v>606</v>
      </c>
      <c r="X267" s="286">
        <v>20</v>
      </c>
    </row>
    <row r="268" spans="1:24" ht="97.5" customHeight="1" x14ac:dyDescent="0.2">
      <c r="A268" s="282" t="s">
        <v>380</v>
      </c>
      <c r="B268" s="282" t="s">
        <v>1518</v>
      </c>
      <c r="C268" s="286">
        <v>0</v>
      </c>
      <c r="D268" s="286">
        <v>0</v>
      </c>
      <c r="E268" s="286">
        <v>0</v>
      </c>
      <c r="F268" s="286">
        <v>0</v>
      </c>
      <c r="G268" s="286">
        <v>0</v>
      </c>
      <c r="H268" s="286">
        <v>0</v>
      </c>
      <c r="I268" s="286">
        <v>0</v>
      </c>
      <c r="J268" s="286">
        <v>1</v>
      </c>
      <c r="K268" s="287"/>
      <c r="L268" s="282" t="s">
        <v>521</v>
      </c>
      <c r="M268" s="287"/>
      <c r="N268" s="287"/>
      <c r="O268" s="287"/>
      <c r="P268" s="282" t="s">
        <v>1519</v>
      </c>
      <c r="Q268" s="282" t="s">
        <v>1520</v>
      </c>
      <c r="R268" s="287"/>
      <c r="S268" s="282" t="s">
        <v>1521</v>
      </c>
      <c r="T268" s="282" t="s">
        <v>1522</v>
      </c>
      <c r="U268" s="282" t="s">
        <v>30</v>
      </c>
      <c r="V268" s="287"/>
      <c r="W268" s="282" t="s">
        <v>564</v>
      </c>
      <c r="X268" s="286">
        <v>5</v>
      </c>
    </row>
    <row r="269" spans="1:24" ht="168" customHeight="1" x14ac:dyDescent="0.2">
      <c r="A269" s="282" t="s">
        <v>381</v>
      </c>
      <c r="B269" s="282" t="s">
        <v>1523</v>
      </c>
      <c r="C269" s="286">
        <v>0</v>
      </c>
      <c r="D269" s="286">
        <v>0</v>
      </c>
      <c r="E269" s="286">
        <v>0</v>
      </c>
      <c r="F269" s="286">
        <v>0</v>
      </c>
      <c r="G269" s="286">
        <v>0</v>
      </c>
      <c r="H269" s="286">
        <v>0</v>
      </c>
      <c r="I269" s="286">
        <v>0</v>
      </c>
      <c r="J269" s="286">
        <v>1</v>
      </c>
      <c r="K269" s="287"/>
      <c r="L269" s="282" t="s">
        <v>521</v>
      </c>
      <c r="M269" s="287"/>
      <c r="N269" s="287"/>
      <c r="O269" s="287"/>
      <c r="P269" s="282" t="s">
        <v>1524</v>
      </c>
      <c r="Q269" s="282" t="s">
        <v>1516</v>
      </c>
      <c r="R269" s="280" t="s">
        <v>732</v>
      </c>
      <c r="S269" s="282" t="s">
        <v>1525</v>
      </c>
      <c r="T269" s="282" t="s">
        <v>1526</v>
      </c>
      <c r="U269" s="282" t="s">
        <v>30</v>
      </c>
      <c r="V269" s="287"/>
      <c r="W269" s="282" t="s">
        <v>564</v>
      </c>
      <c r="X269" s="286">
        <v>5</v>
      </c>
    </row>
    <row r="270" spans="1:24" ht="195.75" customHeight="1" x14ac:dyDescent="0.2">
      <c r="A270" s="282" t="s">
        <v>382</v>
      </c>
      <c r="B270" s="282" t="s">
        <v>1527</v>
      </c>
      <c r="C270" s="286">
        <v>0</v>
      </c>
      <c r="D270" s="286">
        <v>0</v>
      </c>
      <c r="E270" s="286">
        <v>0</v>
      </c>
      <c r="F270" s="286">
        <v>0</v>
      </c>
      <c r="G270" s="286">
        <v>0</v>
      </c>
      <c r="H270" s="286">
        <v>0</v>
      </c>
      <c r="I270" s="286">
        <v>0</v>
      </c>
      <c r="J270" s="286">
        <v>1</v>
      </c>
      <c r="K270" s="287"/>
      <c r="L270" s="282" t="s">
        <v>521</v>
      </c>
      <c r="M270" s="287"/>
      <c r="N270" s="287"/>
      <c r="O270" s="282" t="s">
        <v>1528</v>
      </c>
      <c r="P270" s="282" t="s">
        <v>1528</v>
      </c>
      <c r="Q270" s="282" t="s">
        <v>1529</v>
      </c>
      <c r="R270" s="287"/>
      <c r="S270" s="282" t="s">
        <v>1530</v>
      </c>
      <c r="T270" s="282" t="s">
        <v>1531</v>
      </c>
      <c r="U270" s="282" t="s">
        <v>26</v>
      </c>
      <c r="V270" s="287"/>
      <c r="W270" s="282" t="s">
        <v>564</v>
      </c>
      <c r="X270" s="286">
        <v>5</v>
      </c>
    </row>
    <row r="271" spans="1:24" ht="181.5" customHeight="1" x14ac:dyDescent="0.15">
      <c r="A271" s="282" t="s">
        <v>383</v>
      </c>
      <c r="B271" s="282" t="s">
        <v>1532</v>
      </c>
      <c r="C271" s="286">
        <v>0</v>
      </c>
      <c r="D271" s="286">
        <v>0</v>
      </c>
      <c r="E271" s="286">
        <v>0</v>
      </c>
      <c r="F271" s="286">
        <v>0</v>
      </c>
      <c r="G271" s="286">
        <v>0</v>
      </c>
      <c r="H271" s="286">
        <v>0</v>
      </c>
      <c r="I271" s="286">
        <v>0</v>
      </c>
      <c r="J271" s="286">
        <v>1</v>
      </c>
      <c r="K271" s="287"/>
      <c r="L271" s="282" t="s">
        <v>521</v>
      </c>
      <c r="M271" s="287"/>
      <c r="N271" s="287"/>
      <c r="O271" s="287"/>
      <c r="P271" s="282" t="s">
        <v>1533</v>
      </c>
      <c r="Q271" s="282" t="s">
        <v>1534</v>
      </c>
      <c r="R271" s="282" t="s">
        <v>704</v>
      </c>
      <c r="S271" s="282" t="s">
        <v>1535</v>
      </c>
      <c r="T271" s="291"/>
      <c r="U271" s="282" t="s">
        <v>30</v>
      </c>
      <c r="V271" s="287"/>
      <c r="W271" s="282" t="s">
        <v>564</v>
      </c>
      <c r="X271" s="286">
        <v>5</v>
      </c>
    </row>
    <row r="272" spans="1:24" ht="126" customHeight="1" x14ac:dyDescent="0.15">
      <c r="A272" s="282" t="s">
        <v>384</v>
      </c>
      <c r="B272" s="282" t="s">
        <v>1536</v>
      </c>
      <c r="C272" s="286">
        <v>0</v>
      </c>
      <c r="D272" s="286">
        <v>0</v>
      </c>
      <c r="E272" s="286">
        <v>0</v>
      </c>
      <c r="F272" s="286">
        <v>0</v>
      </c>
      <c r="G272" s="286">
        <v>0</v>
      </c>
      <c r="H272" s="286">
        <v>0</v>
      </c>
      <c r="I272" s="286">
        <v>0</v>
      </c>
      <c r="J272" s="286">
        <v>1</v>
      </c>
      <c r="K272" s="287"/>
      <c r="L272" s="282" t="s">
        <v>521</v>
      </c>
      <c r="M272" s="287"/>
      <c r="N272" s="287"/>
      <c r="O272" s="291"/>
      <c r="P272" s="282" t="s">
        <v>1537</v>
      </c>
      <c r="Q272" s="282" t="s">
        <v>1538</v>
      </c>
      <c r="R272" s="287"/>
      <c r="S272" s="282" t="s">
        <v>1539</v>
      </c>
      <c r="T272" s="287"/>
      <c r="U272" s="282" t="s">
        <v>30</v>
      </c>
      <c r="V272" s="287"/>
      <c r="W272" s="282" t="s">
        <v>564</v>
      </c>
      <c r="X272" s="286">
        <v>5</v>
      </c>
    </row>
    <row r="273" spans="1:24" ht="87" customHeight="1" x14ac:dyDescent="0.2">
      <c r="A273" s="289" t="s">
        <v>385</v>
      </c>
      <c r="B273" s="289" t="s">
        <v>1540</v>
      </c>
      <c r="C273" s="286">
        <v>0</v>
      </c>
      <c r="D273" s="286">
        <v>0</v>
      </c>
      <c r="E273" s="286">
        <v>0</v>
      </c>
      <c r="F273" s="286">
        <v>0</v>
      </c>
      <c r="G273" s="286">
        <v>0</v>
      </c>
      <c r="H273" s="286">
        <v>0</v>
      </c>
      <c r="I273" s="286">
        <v>0</v>
      </c>
      <c r="J273" s="286">
        <v>1</v>
      </c>
      <c r="K273" s="287"/>
      <c r="L273" s="282" t="s">
        <v>521</v>
      </c>
      <c r="M273" s="287"/>
      <c r="N273" s="287"/>
      <c r="O273" s="287"/>
      <c r="P273" s="282" t="s">
        <v>1541</v>
      </c>
      <c r="Q273" s="282" t="s">
        <v>1542</v>
      </c>
      <c r="R273" s="287"/>
      <c r="S273" s="287" t="s">
        <v>1543</v>
      </c>
      <c r="T273" s="287" t="s">
        <v>1544</v>
      </c>
      <c r="U273" s="282" t="s">
        <v>26</v>
      </c>
      <c r="V273" s="287"/>
      <c r="W273" s="282" t="s">
        <v>606</v>
      </c>
      <c r="X273" s="286">
        <v>20</v>
      </c>
    </row>
    <row r="274" spans="1:24" ht="97.5" customHeight="1" x14ac:dyDescent="0.2">
      <c r="A274" s="282" t="s">
        <v>386</v>
      </c>
      <c r="B274" s="282" t="s">
        <v>1545</v>
      </c>
      <c r="C274" s="286">
        <v>0</v>
      </c>
      <c r="D274" s="286">
        <v>0</v>
      </c>
      <c r="E274" s="286">
        <v>0</v>
      </c>
      <c r="F274" s="286">
        <v>0</v>
      </c>
      <c r="G274" s="286">
        <v>0</v>
      </c>
      <c r="H274" s="286">
        <v>0</v>
      </c>
      <c r="I274" s="286">
        <v>0</v>
      </c>
      <c r="J274" s="286">
        <v>1</v>
      </c>
      <c r="K274" s="287"/>
      <c r="L274" s="282" t="s">
        <v>521</v>
      </c>
      <c r="M274" s="287"/>
      <c r="N274" s="287"/>
      <c r="O274" s="282" t="s">
        <v>1546</v>
      </c>
      <c r="P274" s="282" t="s">
        <v>1547</v>
      </c>
      <c r="Q274" s="282" t="s">
        <v>1548</v>
      </c>
      <c r="R274" s="287"/>
      <c r="S274" s="282" t="s">
        <v>1549</v>
      </c>
      <c r="T274" s="287"/>
      <c r="U274" s="282" t="s">
        <v>30</v>
      </c>
      <c r="V274" s="287"/>
      <c r="W274" s="282" t="s">
        <v>564</v>
      </c>
      <c r="X274" s="286">
        <v>5</v>
      </c>
    </row>
    <row r="275" spans="1:24" ht="97.5" customHeight="1" x14ac:dyDescent="0.2">
      <c r="A275" s="282" t="s">
        <v>387</v>
      </c>
      <c r="B275" s="282" t="s">
        <v>1550</v>
      </c>
      <c r="C275" s="286">
        <v>0</v>
      </c>
      <c r="D275" s="286">
        <v>0</v>
      </c>
      <c r="E275" s="286">
        <v>0</v>
      </c>
      <c r="F275" s="286">
        <v>0</v>
      </c>
      <c r="G275" s="286">
        <v>0</v>
      </c>
      <c r="H275" s="286">
        <v>0</v>
      </c>
      <c r="I275" s="286">
        <v>0</v>
      </c>
      <c r="J275" s="286">
        <v>1</v>
      </c>
      <c r="K275" s="282"/>
      <c r="L275" s="282" t="s">
        <v>521</v>
      </c>
      <c r="M275" s="287"/>
      <c r="N275" s="287"/>
      <c r="O275" s="282" t="s">
        <v>1551</v>
      </c>
      <c r="P275" s="287"/>
      <c r="Q275" s="282" t="s">
        <v>1552</v>
      </c>
      <c r="R275" s="287"/>
      <c r="S275" s="282" t="s">
        <v>1553</v>
      </c>
      <c r="T275" s="282" t="s">
        <v>1554</v>
      </c>
      <c r="U275" s="282" t="s">
        <v>26</v>
      </c>
      <c r="V275" s="287"/>
      <c r="W275" s="282" t="s">
        <v>555</v>
      </c>
      <c r="X275" s="286">
        <v>10</v>
      </c>
    </row>
    <row r="276" spans="1:24" ht="55.5" customHeight="1" x14ac:dyDescent="0.2">
      <c r="A276" s="282" t="s">
        <v>389</v>
      </c>
      <c r="B276" s="282" t="s">
        <v>1555</v>
      </c>
      <c r="C276" s="286">
        <v>0</v>
      </c>
      <c r="D276" s="286">
        <v>0</v>
      </c>
      <c r="E276" s="286">
        <v>0</v>
      </c>
      <c r="F276" s="286">
        <v>0</v>
      </c>
      <c r="G276" s="286">
        <v>0</v>
      </c>
      <c r="H276" s="286">
        <v>0</v>
      </c>
      <c r="I276" s="286">
        <v>0</v>
      </c>
      <c r="J276" s="286">
        <v>1</v>
      </c>
      <c r="K276" s="282"/>
      <c r="L276" s="282" t="s">
        <v>521</v>
      </c>
      <c r="M276" s="287"/>
      <c r="N276" s="287"/>
      <c r="O276" s="282" t="s">
        <v>1556</v>
      </c>
      <c r="P276" s="282" t="s">
        <v>1547</v>
      </c>
      <c r="Q276" s="282" t="s">
        <v>1557</v>
      </c>
      <c r="R276" s="287"/>
      <c r="S276" s="282" t="s">
        <v>1558</v>
      </c>
      <c r="T276" s="287"/>
      <c r="U276" s="282" t="s">
        <v>30</v>
      </c>
      <c r="V276" s="287"/>
      <c r="W276" s="282" t="s">
        <v>555</v>
      </c>
      <c r="X276" s="286">
        <v>10</v>
      </c>
    </row>
    <row r="277" spans="1:24" ht="55.5" customHeight="1" x14ac:dyDescent="0.2">
      <c r="A277" s="282" t="s">
        <v>390</v>
      </c>
      <c r="B277" s="282" t="s">
        <v>1559</v>
      </c>
      <c r="C277" s="286">
        <v>0</v>
      </c>
      <c r="D277" s="286">
        <v>0</v>
      </c>
      <c r="E277" s="286">
        <v>0</v>
      </c>
      <c r="F277" s="286">
        <v>0</v>
      </c>
      <c r="G277" s="286">
        <v>0</v>
      </c>
      <c r="H277" s="286">
        <v>0</v>
      </c>
      <c r="I277" s="286">
        <v>0</v>
      </c>
      <c r="J277" s="286">
        <v>1</v>
      </c>
      <c r="K277" s="282"/>
      <c r="L277" s="282" t="s">
        <v>521</v>
      </c>
      <c r="M277" s="287"/>
      <c r="N277" s="287"/>
      <c r="O277" s="282" t="s">
        <v>1560</v>
      </c>
      <c r="P277" s="282" t="s">
        <v>1547</v>
      </c>
      <c r="Q277" s="287"/>
      <c r="R277" s="287"/>
      <c r="S277" s="282" t="s">
        <v>1561</v>
      </c>
      <c r="T277" s="287"/>
      <c r="U277" s="282" t="s">
        <v>30</v>
      </c>
      <c r="V277" s="287"/>
      <c r="W277" s="282" t="s">
        <v>555</v>
      </c>
      <c r="X277" s="286">
        <v>10</v>
      </c>
    </row>
    <row r="278" spans="1:24" ht="97.5" customHeight="1" x14ac:dyDescent="0.2">
      <c r="A278" s="282" t="s">
        <v>392</v>
      </c>
      <c r="B278" s="282" t="s">
        <v>1562</v>
      </c>
      <c r="C278" s="286">
        <v>0</v>
      </c>
      <c r="D278" s="286">
        <v>0</v>
      </c>
      <c r="E278" s="286">
        <v>0</v>
      </c>
      <c r="F278" s="286">
        <v>0</v>
      </c>
      <c r="G278" s="286">
        <v>0</v>
      </c>
      <c r="H278" s="286">
        <v>0</v>
      </c>
      <c r="I278" s="286">
        <v>0</v>
      </c>
      <c r="J278" s="286">
        <v>1</v>
      </c>
      <c r="K278" s="282"/>
      <c r="L278" s="282" t="s">
        <v>521</v>
      </c>
      <c r="M278" s="287"/>
      <c r="N278" s="287"/>
      <c r="O278" s="282" t="s">
        <v>1563</v>
      </c>
      <c r="P278" s="282" t="s">
        <v>1563</v>
      </c>
      <c r="Q278" s="282" t="s">
        <v>1564</v>
      </c>
      <c r="R278" s="287"/>
      <c r="S278" s="282" t="s">
        <v>1565</v>
      </c>
      <c r="T278" s="282" t="s">
        <v>1566</v>
      </c>
      <c r="U278" s="282" t="s">
        <v>26</v>
      </c>
      <c r="V278" s="287"/>
      <c r="W278" s="282" t="s">
        <v>555</v>
      </c>
      <c r="X278" s="286">
        <v>10</v>
      </c>
    </row>
    <row r="279" spans="1:24" ht="55.5" customHeight="1" x14ac:dyDescent="0.2">
      <c r="A279" s="282" t="s">
        <v>393</v>
      </c>
      <c r="B279" s="282" t="s">
        <v>1567</v>
      </c>
      <c r="C279" s="286">
        <v>0</v>
      </c>
      <c r="D279" s="286">
        <v>0</v>
      </c>
      <c r="E279" s="286">
        <v>0</v>
      </c>
      <c r="F279" s="286">
        <v>0</v>
      </c>
      <c r="G279" s="286">
        <v>0</v>
      </c>
      <c r="H279" s="286">
        <v>0</v>
      </c>
      <c r="I279" s="286">
        <v>0</v>
      </c>
      <c r="J279" s="286">
        <v>1</v>
      </c>
      <c r="K279" s="282"/>
      <c r="L279" s="282" t="s">
        <v>521</v>
      </c>
      <c r="M279" s="287"/>
      <c r="N279" s="287"/>
      <c r="O279" s="282" t="s">
        <v>1568</v>
      </c>
      <c r="P279" s="282" t="s">
        <v>1547</v>
      </c>
      <c r="Q279" s="287"/>
      <c r="R279" s="280" t="s">
        <v>732</v>
      </c>
      <c r="S279" s="282" t="s">
        <v>1569</v>
      </c>
      <c r="T279" s="287"/>
      <c r="U279" s="282" t="s">
        <v>30</v>
      </c>
      <c r="V279" s="287"/>
      <c r="W279" s="282" t="s">
        <v>555</v>
      </c>
      <c r="X279" s="286">
        <v>10</v>
      </c>
    </row>
    <row r="280" spans="1:24" ht="87" customHeight="1" x14ac:dyDescent="0.2">
      <c r="A280" s="282" t="s">
        <v>394</v>
      </c>
      <c r="B280" s="282" t="s">
        <v>1570</v>
      </c>
      <c r="C280" s="286">
        <v>0</v>
      </c>
      <c r="D280" s="286">
        <v>0</v>
      </c>
      <c r="E280" s="286">
        <v>0</v>
      </c>
      <c r="F280" s="286">
        <v>0</v>
      </c>
      <c r="G280" s="286">
        <v>0</v>
      </c>
      <c r="H280" s="286">
        <v>0</v>
      </c>
      <c r="I280" s="286">
        <v>0</v>
      </c>
      <c r="J280" s="286">
        <v>1</v>
      </c>
      <c r="K280" s="287"/>
      <c r="L280" s="282" t="s">
        <v>521</v>
      </c>
      <c r="M280" s="287"/>
      <c r="N280" s="287"/>
      <c r="O280" s="287"/>
      <c r="P280" s="282" t="s">
        <v>1571</v>
      </c>
      <c r="Q280" s="282" t="s">
        <v>1572</v>
      </c>
      <c r="R280" s="287"/>
      <c r="S280" s="287" t="s">
        <v>1573</v>
      </c>
      <c r="T280" s="287" t="s">
        <v>1574</v>
      </c>
      <c r="U280" s="282" t="s">
        <v>30</v>
      </c>
      <c r="V280" s="287"/>
      <c r="W280" s="282" t="s">
        <v>555</v>
      </c>
      <c r="X280" s="286">
        <v>10</v>
      </c>
    </row>
    <row r="281" spans="1:24" ht="87" customHeight="1" x14ac:dyDescent="0.2">
      <c r="A281" s="282" t="s">
        <v>395</v>
      </c>
      <c r="B281" s="282" t="s">
        <v>1575</v>
      </c>
      <c r="C281" s="286">
        <v>0</v>
      </c>
      <c r="D281" s="286">
        <v>0</v>
      </c>
      <c r="E281" s="286">
        <v>0</v>
      </c>
      <c r="F281" s="286">
        <v>0</v>
      </c>
      <c r="G281" s="286">
        <v>0</v>
      </c>
      <c r="H281" s="286">
        <v>0</v>
      </c>
      <c r="I281" s="286">
        <v>0</v>
      </c>
      <c r="J281" s="286">
        <v>1</v>
      </c>
      <c r="K281" s="287"/>
      <c r="L281" s="282" t="s">
        <v>521</v>
      </c>
      <c r="M281" s="287"/>
      <c r="N281" s="287"/>
      <c r="O281" s="287"/>
      <c r="P281" s="282" t="s">
        <v>1547</v>
      </c>
      <c r="Q281" s="282" t="s">
        <v>1576</v>
      </c>
      <c r="R281" s="287"/>
      <c r="S281" s="287" t="s">
        <v>1577</v>
      </c>
      <c r="T281" s="282" t="s">
        <v>1578</v>
      </c>
      <c r="U281" s="282" t="s">
        <v>30</v>
      </c>
      <c r="V281" s="287"/>
      <c r="W281" s="282" t="s">
        <v>555</v>
      </c>
      <c r="X281" s="286">
        <v>10</v>
      </c>
    </row>
    <row r="282" spans="1:24" ht="87" customHeight="1" x14ac:dyDescent="0.2">
      <c r="A282" s="282" t="s">
        <v>397</v>
      </c>
      <c r="B282" s="282" t="s">
        <v>1579</v>
      </c>
      <c r="C282" s="286">
        <v>0</v>
      </c>
      <c r="D282" s="286">
        <v>0</v>
      </c>
      <c r="E282" s="286">
        <v>0</v>
      </c>
      <c r="F282" s="286">
        <v>0</v>
      </c>
      <c r="G282" s="286">
        <v>0</v>
      </c>
      <c r="H282" s="286">
        <v>0</v>
      </c>
      <c r="I282" s="286">
        <v>0</v>
      </c>
      <c r="J282" s="286">
        <v>1</v>
      </c>
      <c r="K282" s="287"/>
      <c r="L282" s="282" t="s">
        <v>521</v>
      </c>
      <c r="M282" s="287"/>
      <c r="N282" s="287"/>
      <c r="O282" s="287"/>
      <c r="P282" s="282" t="s">
        <v>1547</v>
      </c>
      <c r="Q282" s="282" t="s">
        <v>1572</v>
      </c>
      <c r="R282" s="284" t="s">
        <v>1580</v>
      </c>
      <c r="S282" s="287" t="s">
        <v>1581</v>
      </c>
      <c r="T282" s="287" t="s">
        <v>1582</v>
      </c>
      <c r="U282" s="282" t="s">
        <v>30</v>
      </c>
      <c r="V282" s="287"/>
      <c r="W282" s="282" t="s">
        <v>555</v>
      </c>
      <c r="X282" s="286">
        <v>10</v>
      </c>
    </row>
    <row r="283" spans="1:24" ht="126" customHeight="1" x14ac:dyDescent="0.2">
      <c r="A283" s="282" t="s">
        <v>399</v>
      </c>
      <c r="B283" s="282" t="s">
        <v>1583</v>
      </c>
      <c r="C283" s="286">
        <v>0</v>
      </c>
      <c r="D283" s="286">
        <v>0</v>
      </c>
      <c r="E283" s="286">
        <v>0</v>
      </c>
      <c r="F283" s="286">
        <v>0</v>
      </c>
      <c r="G283" s="286">
        <v>0</v>
      </c>
      <c r="H283" s="286">
        <v>0</v>
      </c>
      <c r="I283" s="286">
        <v>0</v>
      </c>
      <c r="J283" s="286">
        <v>1</v>
      </c>
      <c r="K283" s="287"/>
      <c r="L283" s="282" t="s">
        <v>521</v>
      </c>
      <c r="M283" s="287"/>
      <c r="N283" s="287"/>
      <c r="O283" s="282" t="s">
        <v>1584</v>
      </c>
      <c r="P283" s="282" t="s">
        <v>1547</v>
      </c>
      <c r="Q283" s="282" t="s">
        <v>1585</v>
      </c>
      <c r="R283" s="284" t="s">
        <v>1586</v>
      </c>
      <c r="S283" s="282" t="s">
        <v>1587</v>
      </c>
      <c r="T283" s="287"/>
      <c r="U283" s="282" t="s">
        <v>30</v>
      </c>
      <c r="V283" s="287"/>
      <c r="W283" s="282" t="s">
        <v>555</v>
      </c>
      <c r="X283" s="286">
        <v>10</v>
      </c>
    </row>
    <row r="284" spans="1:24" ht="99.75" customHeight="1" x14ac:dyDescent="0.2">
      <c r="A284" s="282" t="s">
        <v>401</v>
      </c>
      <c r="B284" s="282" t="s">
        <v>1588</v>
      </c>
      <c r="C284" s="286">
        <v>0</v>
      </c>
      <c r="D284" s="286">
        <v>0</v>
      </c>
      <c r="E284" s="286">
        <v>0</v>
      </c>
      <c r="F284" s="286">
        <v>0</v>
      </c>
      <c r="G284" s="286">
        <v>0</v>
      </c>
      <c r="H284" s="286">
        <v>0</v>
      </c>
      <c r="I284" s="286">
        <v>0</v>
      </c>
      <c r="J284" s="286">
        <v>1</v>
      </c>
      <c r="K284" s="287"/>
      <c r="L284" s="282" t="s">
        <v>521</v>
      </c>
      <c r="M284" s="287"/>
      <c r="N284" s="287"/>
      <c r="O284" s="287"/>
      <c r="P284" s="282" t="s">
        <v>1547</v>
      </c>
      <c r="Q284" s="282" t="s">
        <v>1572</v>
      </c>
      <c r="R284" s="284" t="s">
        <v>1589</v>
      </c>
      <c r="S284" s="287" t="s">
        <v>1590</v>
      </c>
      <c r="T284" s="287" t="s">
        <v>1591</v>
      </c>
      <c r="U284" s="282" t="s">
        <v>30</v>
      </c>
      <c r="V284" s="287"/>
      <c r="W284" s="282" t="s">
        <v>555</v>
      </c>
      <c r="X284" s="286">
        <v>10</v>
      </c>
    </row>
    <row r="285" spans="1:24" ht="111.75" customHeight="1" x14ac:dyDescent="0.15">
      <c r="A285" s="282" t="s">
        <v>402</v>
      </c>
      <c r="B285" s="282" t="s">
        <v>1592</v>
      </c>
      <c r="C285" s="286">
        <v>0</v>
      </c>
      <c r="D285" s="286">
        <v>0</v>
      </c>
      <c r="E285" s="286">
        <v>0</v>
      </c>
      <c r="F285" s="286">
        <v>0</v>
      </c>
      <c r="G285" s="286">
        <v>0</v>
      </c>
      <c r="H285" s="286">
        <v>0</v>
      </c>
      <c r="I285" s="286">
        <v>0</v>
      </c>
      <c r="J285" s="286">
        <v>1</v>
      </c>
      <c r="K285" s="287"/>
      <c r="L285" s="282" t="s">
        <v>521</v>
      </c>
      <c r="M285" s="287"/>
      <c r="N285" s="287"/>
      <c r="O285" s="287"/>
      <c r="P285" s="282" t="s">
        <v>1593</v>
      </c>
      <c r="Q285" s="291"/>
      <c r="R285" s="284" t="s">
        <v>1594</v>
      </c>
      <c r="S285" s="282" t="s">
        <v>1595</v>
      </c>
      <c r="T285" s="287"/>
      <c r="U285" s="282" t="s">
        <v>30</v>
      </c>
      <c r="V285" s="287"/>
      <c r="W285" s="282" t="s">
        <v>555</v>
      </c>
      <c r="X285" s="286">
        <v>10</v>
      </c>
    </row>
    <row r="286" spans="1:24" ht="210" customHeight="1" x14ac:dyDescent="0.2">
      <c r="A286" s="282" t="s">
        <v>404</v>
      </c>
      <c r="B286" s="282" t="s">
        <v>1596</v>
      </c>
      <c r="C286" s="286">
        <v>0</v>
      </c>
      <c r="D286" s="286">
        <v>0</v>
      </c>
      <c r="E286" s="286">
        <v>0</v>
      </c>
      <c r="F286" s="286">
        <v>0</v>
      </c>
      <c r="G286" s="286">
        <v>0</v>
      </c>
      <c r="H286" s="286">
        <v>0</v>
      </c>
      <c r="I286" s="286">
        <v>0</v>
      </c>
      <c r="J286" s="286">
        <v>1</v>
      </c>
      <c r="K286" s="287"/>
      <c r="L286" s="282" t="s">
        <v>521</v>
      </c>
      <c r="M286" s="287"/>
      <c r="N286" s="287"/>
      <c r="O286" s="282" t="s">
        <v>1597</v>
      </c>
      <c r="P286" s="282" t="s">
        <v>1597</v>
      </c>
      <c r="Q286" s="282" t="s">
        <v>1597</v>
      </c>
      <c r="R286" s="284" t="s">
        <v>1598</v>
      </c>
      <c r="S286" s="282" t="s">
        <v>1599</v>
      </c>
      <c r="T286" s="287"/>
      <c r="U286" s="282" t="s">
        <v>30</v>
      </c>
      <c r="V286" s="287"/>
      <c r="W286" s="282" t="s">
        <v>555</v>
      </c>
      <c r="X286" s="286">
        <v>10</v>
      </c>
    </row>
    <row r="287" spans="1:24" ht="87" customHeight="1" x14ac:dyDescent="0.2">
      <c r="A287" s="282" t="s">
        <v>406</v>
      </c>
      <c r="B287" s="282" t="s">
        <v>1600</v>
      </c>
      <c r="C287" s="286">
        <v>0</v>
      </c>
      <c r="D287" s="286">
        <v>0</v>
      </c>
      <c r="E287" s="286">
        <v>0</v>
      </c>
      <c r="F287" s="286">
        <v>0</v>
      </c>
      <c r="G287" s="286">
        <v>0</v>
      </c>
      <c r="H287" s="286">
        <v>0</v>
      </c>
      <c r="I287" s="286">
        <v>0</v>
      </c>
      <c r="J287" s="286">
        <v>1</v>
      </c>
      <c r="K287" s="287"/>
      <c r="L287" s="282" t="s">
        <v>521</v>
      </c>
      <c r="M287" s="287"/>
      <c r="N287" s="287"/>
      <c r="O287" s="287"/>
      <c r="P287" s="287"/>
      <c r="Q287" s="287"/>
      <c r="R287" s="284" t="s">
        <v>1601</v>
      </c>
      <c r="S287" s="287" t="s">
        <v>1602</v>
      </c>
      <c r="T287" s="287" t="s">
        <v>1603</v>
      </c>
      <c r="U287" s="282" t="s">
        <v>30</v>
      </c>
      <c r="V287" s="287"/>
      <c r="W287" s="282" t="s">
        <v>555</v>
      </c>
      <c r="X287" s="286">
        <v>10</v>
      </c>
    </row>
    <row r="288" spans="1:24" ht="84" customHeight="1" x14ac:dyDescent="0.2">
      <c r="A288" s="282" t="s">
        <v>408</v>
      </c>
      <c r="B288" s="282" t="s">
        <v>1604</v>
      </c>
      <c r="C288" s="286">
        <v>0</v>
      </c>
      <c r="D288" s="286">
        <v>0</v>
      </c>
      <c r="E288" s="286">
        <v>0</v>
      </c>
      <c r="F288" s="286">
        <v>0</v>
      </c>
      <c r="G288" s="286">
        <v>0</v>
      </c>
      <c r="H288" s="286">
        <v>0</v>
      </c>
      <c r="I288" s="286">
        <v>0</v>
      </c>
      <c r="J288" s="286">
        <v>1</v>
      </c>
      <c r="K288" s="287"/>
      <c r="L288" s="282" t="s">
        <v>521</v>
      </c>
      <c r="M288" s="287"/>
      <c r="N288" s="287"/>
      <c r="O288" s="287"/>
      <c r="P288" s="287"/>
      <c r="Q288" s="287"/>
      <c r="R288" s="284" t="s">
        <v>1605</v>
      </c>
      <c r="S288" s="287" t="s">
        <v>1606</v>
      </c>
      <c r="T288" s="287" t="s">
        <v>1607</v>
      </c>
      <c r="U288" s="282" t="s">
        <v>30</v>
      </c>
      <c r="V288" s="287"/>
      <c r="W288" s="282" t="s">
        <v>555</v>
      </c>
      <c r="X288" s="286">
        <v>10</v>
      </c>
    </row>
    <row r="289" spans="1:24" ht="99.75" customHeight="1" x14ac:dyDescent="0.2">
      <c r="A289" s="282" t="s">
        <v>409</v>
      </c>
      <c r="B289" s="282" t="s">
        <v>1608</v>
      </c>
      <c r="C289" s="286">
        <v>0</v>
      </c>
      <c r="D289" s="286">
        <v>0</v>
      </c>
      <c r="E289" s="286">
        <v>0</v>
      </c>
      <c r="F289" s="286">
        <v>0</v>
      </c>
      <c r="G289" s="286">
        <v>0</v>
      </c>
      <c r="H289" s="286">
        <v>0</v>
      </c>
      <c r="I289" s="286">
        <v>0</v>
      </c>
      <c r="J289" s="286">
        <v>1</v>
      </c>
      <c r="K289" s="287"/>
      <c r="L289" s="282" t="s">
        <v>521</v>
      </c>
      <c r="M289" s="287"/>
      <c r="N289" s="287"/>
      <c r="O289" s="287"/>
      <c r="P289" s="287"/>
      <c r="Q289" s="287"/>
      <c r="R289" s="284" t="s">
        <v>1609</v>
      </c>
      <c r="S289" s="287" t="s">
        <v>1610</v>
      </c>
      <c r="T289" s="287" t="s">
        <v>1611</v>
      </c>
      <c r="U289" s="282" t="s">
        <v>30</v>
      </c>
      <c r="V289" s="287"/>
      <c r="W289" s="282" t="s">
        <v>555</v>
      </c>
      <c r="X289" s="286">
        <v>10</v>
      </c>
    </row>
    <row r="290" spans="1:24" ht="87" customHeight="1" x14ac:dyDescent="0.15">
      <c r="A290" s="282" t="s">
        <v>411</v>
      </c>
      <c r="B290" s="282" t="s">
        <v>1612</v>
      </c>
      <c r="C290" s="286">
        <v>0</v>
      </c>
      <c r="D290" s="286">
        <v>0</v>
      </c>
      <c r="E290" s="286">
        <v>0</v>
      </c>
      <c r="F290" s="286">
        <v>0</v>
      </c>
      <c r="G290" s="286">
        <v>0</v>
      </c>
      <c r="H290" s="286">
        <v>0</v>
      </c>
      <c r="I290" s="286">
        <v>0</v>
      </c>
      <c r="J290" s="286">
        <v>1</v>
      </c>
      <c r="K290" s="287"/>
      <c r="L290" s="282" t="s">
        <v>521</v>
      </c>
      <c r="M290" s="287"/>
      <c r="N290" s="287"/>
      <c r="O290" s="291"/>
      <c r="P290" s="287"/>
      <c r="Q290" s="282" t="s">
        <v>1613</v>
      </c>
      <c r="R290" s="284" t="s">
        <v>1614</v>
      </c>
      <c r="S290" s="287" t="s">
        <v>1615</v>
      </c>
      <c r="T290" s="287" t="s">
        <v>1616</v>
      </c>
      <c r="U290" s="282" t="s">
        <v>30</v>
      </c>
      <c r="V290" s="287"/>
      <c r="W290" s="282" t="s">
        <v>555</v>
      </c>
      <c r="X290" s="286">
        <v>10</v>
      </c>
    </row>
    <row r="291" spans="1:24" ht="99.75" customHeight="1" x14ac:dyDescent="0.2">
      <c r="A291" s="282" t="s">
        <v>412</v>
      </c>
      <c r="B291" s="282" t="s">
        <v>1617</v>
      </c>
      <c r="C291" s="286">
        <v>0</v>
      </c>
      <c r="D291" s="286">
        <v>0</v>
      </c>
      <c r="E291" s="286">
        <v>0</v>
      </c>
      <c r="F291" s="286">
        <v>0</v>
      </c>
      <c r="G291" s="286">
        <v>0</v>
      </c>
      <c r="H291" s="286">
        <v>0</v>
      </c>
      <c r="I291" s="286">
        <v>0</v>
      </c>
      <c r="J291" s="286">
        <v>1</v>
      </c>
      <c r="K291" s="287"/>
      <c r="L291" s="282" t="s">
        <v>521</v>
      </c>
      <c r="M291" s="287"/>
      <c r="N291" s="287"/>
      <c r="O291" s="287"/>
      <c r="P291" s="287"/>
      <c r="Q291" s="282" t="s">
        <v>1618</v>
      </c>
      <c r="R291" s="284" t="s">
        <v>1619</v>
      </c>
      <c r="S291" s="287" t="s">
        <v>1620</v>
      </c>
      <c r="T291" s="287" t="s">
        <v>1621</v>
      </c>
      <c r="U291" s="282" t="s">
        <v>30</v>
      </c>
      <c r="V291" s="287"/>
      <c r="W291" s="282" t="s">
        <v>555</v>
      </c>
      <c r="X291" s="286">
        <v>10</v>
      </c>
    </row>
    <row r="292" spans="1:24" ht="99.75" customHeight="1" x14ac:dyDescent="0.2">
      <c r="A292" s="282" t="s">
        <v>413</v>
      </c>
      <c r="B292" s="282" t="s">
        <v>1622</v>
      </c>
      <c r="C292" s="286">
        <v>0</v>
      </c>
      <c r="D292" s="286">
        <v>0</v>
      </c>
      <c r="E292" s="286">
        <v>0</v>
      </c>
      <c r="F292" s="286">
        <v>0</v>
      </c>
      <c r="G292" s="286">
        <v>0</v>
      </c>
      <c r="H292" s="286">
        <v>0</v>
      </c>
      <c r="I292" s="286">
        <v>0</v>
      </c>
      <c r="J292" s="286">
        <v>1</v>
      </c>
      <c r="K292" s="287"/>
      <c r="L292" s="282" t="s">
        <v>521</v>
      </c>
      <c r="M292" s="287"/>
      <c r="N292" s="287"/>
      <c r="O292" s="287"/>
      <c r="P292" s="287"/>
      <c r="Q292" s="282" t="s">
        <v>1623</v>
      </c>
      <c r="R292" s="284" t="s">
        <v>1624</v>
      </c>
      <c r="S292" s="287" t="s">
        <v>1625</v>
      </c>
      <c r="T292" s="287" t="s">
        <v>1626</v>
      </c>
      <c r="U292" s="282" t="s">
        <v>26</v>
      </c>
      <c r="V292" s="287"/>
      <c r="W292" s="282" t="s">
        <v>555</v>
      </c>
      <c r="X292" s="286">
        <v>10</v>
      </c>
    </row>
    <row r="293" spans="1:24" ht="237.75" customHeight="1" x14ac:dyDescent="0.2">
      <c r="A293" s="282" t="s">
        <v>414</v>
      </c>
      <c r="B293" s="282" t="s">
        <v>1627</v>
      </c>
      <c r="C293" s="286">
        <v>0</v>
      </c>
      <c r="D293" s="286">
        <v>0</v>
      </c>
      <c r="E293" s="286">
        <v>0</v>
      </c>
      <c r="F293" s="286">
        <v>0</v>
      </c>
      <c r="G293" s="286">
        <v>0</v>
      </c>
      <c r="H293" s="286">
        <v>0</v>
      </c>
      <c r="I293" s="286">
        <v>0</v>
      </c>
      <c r="J293" s="286">
        <v>1</v>
      </c>
      <c r="K293" s="287"/>
      <c r="L293" s="282" t="s">
        <v>521</v>
      </c>
      <c r="M293" s="287"/>
      <c r="N293" s="287"/>
      <c r="O293" s="282" t="s">
        <v>1628</v>
      </c>
      <c r="P293" s="282" t="s">
        <v>1628</v>
      </c>
      <c r="Q293" s="282" t="s">
        <v>1629</v>
      </c>
      <c r="R293" s="284" t="s">
        <v>1630</v>
      </c>
      <c r="S293" s="282" t="s">
        <v>1631</v>
      </c>
      <c r="T293" s="282" t="s">
        <v>1632</v>
      </c>
      <c r="U293" s="282" t="s">
        <v>30</v>
      </c>
      <c r="V293" s="287"/>
      <c r="W293" s="282" t="s">
        <v>555</v>
      </c>
      <c r="X293" s="286">
        <v>10</v>
      </c>
    </row>
    <row r="294" spans="1:24" ht="168" customHeight="1" x14ac:dyDescent="0.2">
      <c r="A294" s="282" t="s">
        <v>416</v>
      </c>
      <c r="B294" s="282" t="s">
        <v>1633</v>
      </c>
      <c r="C294" s="286">
        <v>0</v>
      </c>
      <c r="D294" s="286">
        <v>0</v>
      </c>
      <c r="E294" s="286">
        <v>0</v>
      </c>
      <c r="F294" s="286">
        <v>0</v>
      </c>
      <c r="G294" s="286">
        <v>0</v>
      </c>
      <c r="H294" s="286">
        <v>0</v>
      </c>
      <c r="I294" s="286">
        <v>0</v>
      </c>
      <c r="J294" s="286">
        <v>1</v>
      </c>
      <c r="K294" s="287"/>
      <c r="L294" s="282" t="s">
        <v>521</v>
      </c>
      <c r="M294" s="287"/>
      <c r="N294" s="287"/>
      <c r="O294" s="287"/>
      <c r="P294" s="287"/>
      <c r="Q294" s="282" t="s">
        <v>1634</v>
      </c>
      <c r="R294" s="287"/>
      <c r="S294" s="282" t="s">
        <v>1635</v>
      </c>
      <c r="T294" s="287"/>
      <c r="U294" s="282" t="s">
        <v>30</v>
      </c>
      <c r="V294" s="287"/>
      <c r="W294" s="282" t="s">
        <v>555</v>
      </c>
      <c r="X294" s="286">
        <v>10</v>
      </c>
    </row>
    <row r="295" spans="1:24" ht="126" customHeight="1" x14ac:dyDescent="0.15">
      <c r="A295" s="282" t="s">
        <v>417</v>
      </c>
      <c r="B295" s="282" t="s">
        <v>1636</v>
      </c>
      <c r="C295" s="286">
        <v>0</v>
      </c>
      <c r="D295" s="286">
        <v>0</v>
      </c>
      <c r="E295" s="286">
        <v>0</v>
      </c>
      <c r="F295" s="286">
        <v>0</v>
      </c>
      <c r="G295" s="286">
        <v>0</v>
      </c>
      <c r="H295" s="286">
        <v>0</v>
      </c>
      <c r="I295" s="286">
        <v>0</v>
      </c>
      <c r="J295" s="286">
        <v>1</v>
      </c>
      <c r="K295" s="282"/>
      <c r="L295" s="282" t="s">
        <v>521</v>
      </c>
      <c r="M295" s="287"/>
      <c r="N295" s="282" t="s">
        <v>1637</v>
      </c>
      <c r="O295" s="291"/>
      <c r="P295" s="282" t="s">
        <v>1638</v>
      </c>
      <c r="Q295" s="282" t="s">
        <v>1639</v>
      </c>
      <c r="R295" s="280" t="s">
        <v>732</v>
      </c>
      <c r="S295" s="287" t="s">
        <v>1640</v>
      </c>
      <c r="T295" s="282" t="s">
        <v>1641</v>
      </c>
      <c r="U295" s="282" t="s">
        <v>26</v>
      </c>
      <c r="V295" s="287"/>
      <c r="W295" s="282" t="s">
        <v>555</v>
      </c>
      <c r="X295" s="286">
        <v>10</v>
      </c>
    </row>
    <row r="296" spans="1:24" ht="97.5" customHeight="1" x14ac:dyDescent="0.2">
      <c r="A296" s="289" t="s">
        <v>418</v>
      </c>
      <c r="B296" s="289" t="s">
        <v>1642</v>
      </c>
      <c r="C296" s="286">
        <v>0</v>
      </c>
      <c r="D296" s="286">
        <v>0</v>
      </c>
      <c r="E296" s="286">
        <v>0</v>
      </c>
      <c r="F296" s="286">
        <v>0</v>
      </c>
      <c r="G296" s="286">
        <v>0</v>
      </c>
      <c r="H296" s="286">
        <v>0</v>
      </c>
      <c r="I296" s="286">
        <v>0</v>
      </c>
      <c r="J296" s="286">
        <v>1</v>
      </c>
      <c r="K296" s="287"/>
      <c r="L296" s="282" t="s">
        <v>521</v>
      </c>
      <c r="M296" s="287"/>
      <c r="N296" s="282" t="s">
        <v>1637</v>
      </c>
      <c r="O296" s="287"/>
      <c r="P296" s="282" t="s">
        <v>1643</v>
      </c>
      <c r="Q296" s="282" t="s">
        <v>1644</v>
      </c>
      <c r="R296" s="280" t="s">
        <v>732</v>
      </c>
      <c r="S296" s="282" t="s">
        <v>1645</v>
      </c>
      <c r="T296" s="282" t="s">
        <v>1646</v>
      </c>
      <c r="U296" s="282" t="s">
        <v>26</v>
      </c>
      <c r="V296" s="287"/>
      <c r="W296" s="282" t="s">
        <v>606</v>
      </c>
      <c r="X296" s="286">
        <v>20</v>
      </c>
    </row>
    <row r="297" spans="1:24" ht="111.75" customHeight="1" x14ac:dyDescent="0.2">
      <c r="A297" s="289" t="s">
        <v>419</v>
      </c>
      <c r="B297" s="289" t="s">
        <v>1647</v>
      </c>
      <c r="C297" s="286">
        <v>0</v>
      </c>
      <c r="D297" s="286">
        <v>0</v>
      </c>
      <c r="E297" s="286">
        <v>0</v>
      </c>
      <c r="F297" s="286">
        <v>0</v>
      </c>
      <c r="G297" s="286">
        <v>0</v>
      </c>
      <c r="H297" s="286">
        <v>0</v>
      </c>
      <c r="I297" s="286">
        <v>0</v>
      </c>
      <c r="J297" s="286">
        <v>1</v>
      </c>
      <c r="K297" s="287"/>
      <c r="L297" s="282" t="s">
        <v>521</v>
      </c>
      <c r="M297" s="287"/>
      <c r="N297" s="282" t="s">
        <v>1637</v>
      </c>
      <c r="O297" s="287"/>
      <c r="P297" s="282" t="s">
        <v>1648</v>
      </c>
      <c r="Q297" s="282" t="s">
        <v>1649</v>
      </c>
      <c r="R297" s="280" t="s">
        <v>732</v>
      </c>
      <c r="S297" s="282" t="s">
        <v>1650</v>
      </c>
      <c r="T297" s="282" t="s">
        <v>1651</v>
      </c>
      <c r="U297" s="282" t="s">
        <v>30</v>
      </c>
      <c r="V297" s="287"/>
      <c r="W297" s="282" t="s">
        <v>606</v>
      </c>
      <c r="X297" s="286">
        <v>20</v>
      </c>
    </row>
    <row r="298" spans="1:24" ht="97.5" customHeight="1" x14ac:dyDescent="0.2">
      <c r="A298" s="282" t="s">
        <v>420</v>
      </c>
      <c r="B298" s="282" t="s">
        <v>1652</v>
      </c>
      <c r="C298" s="286">
        <v>0</v>
      </c>
      <c r="D298" s="286">
        <v>0</v>
      </c>
      <c r="E298" s="286">
        <v>0</v>
      </c>
      <c r="F298" s="286">
        <v>0</v>
      </c>
      <c r="G298" s="286">
        <v>0</v>
      </c>
      <c r="H298" s="286">
        <v>0</v>
      </c>
      <c r="I298" s="286">
        <v>0</v>
      </c>
      <c r="J298" s="286">
        <v>1</v>
      </c>
      <c r="K298" s="282"/>
      <c r="L298" s="282" t="s">
        <v>521</v>
      </c>
      <c r="M298" s="287"/>
      <c r="N298" s="282" t="s">
        <v>1637</v>
      </c>
      <c r="O298" s="287"/>
      <c r="P298" s="282" t="s">
        <v>1653</v>
      </c>
      <c r="Q298" s="282" t="s">
        <v>1654</v>
      </c>
      <c r="R298" s="280" t="s">
        <v>732</v>
      </c>
      <c r="S298" s="282" t="s">
        <v>1655</v>
      </c>
      <c r="T298" s="282" t="s">
        <v>1656</v>
      </c>
      <c r="U298" s="282" t="s">
        <v>26</v>
      </c>
      <c r="V298" s="287"/>
      <c r="W298" s="282" t="s">
        <v>555</v>
      </c>
      <c r="X298" s="286">
        <v>10</v>
      </c>
    </row>
    <row r="299" spans="1:24" ht="111.75" customHeight="1" x14ac:dyDescent="0.2">
      <c r="A299" s="282" t="s">
        <v>421</v>
      </c>
      <c r="B299" s="282" t="s">
        <v>1657</v>
      </c>
      <c r="C299" s="286">
        <v>0</v>
      </c>
      <c r="D299" s="286">
        <v>0</v>
      </c>
      <c r="E299" s="286">
        <v>0</v>
      </c>
      <c r="F299" s="286">
        <v>0</v>
      </c>
      <c r="G299" s="286">
        <v>0</v>
      </c>
      <c r="H299" s="286">
        <v>0</v>
      </c>
      <c r="I299" s="286">
        <v>0</v>
      </c>
      <c r="J299" s="286">
        <v>1</v>
      </c>
      <c r="K299" s="282"/>
      <c r="L299" s="282" t="s">
        <v>521</v>
      </c>
      <c r="M299" s="287"/>
      <c r="N299" s="282" t="s">
        <v>1637</v>
      </c>
      <c r="O299" s="287"/>
      <c r="P299" s="282" t="s">
        <v>1658</v>
      </c>
      <c r="Q299" s="282" t="s">
        <v>1658</v>
      </c>
      <c r="R299" s="280" t="s">
        <v>732</v>
      </c>
      <c r="S299" s="282" t="s">
        <v>1659</v>
      </c>
      <c r="T299" s="282" t="s">
        <v>1660</v>
      </c>
      <c r="U299" s="282" t="s">
        <v>30</v>
      </c>
      <c r="V299" s="287"/>
      <c r="W299" s="282" t="s">
        <v>564</v>
      </c>
      <c r="X299" s="286">
        <v>5</v>
      </c>
    </row>
    <row r="300" spans="1:24" ht="139.5" customHeight="1" x14ac:dyDescent="0.2">
      <c r="A300" s="282" t="s">
        <v>422</v>
      </c>
      <c r="B300" s="282" t="s">
        <v>1661</v>
      </c>
      <c r="C300" s="286">
        <v>0</v>
      </c>
      <c r="D300" s="286">
        <v>0</v>
      </c>
      <c r="E300" s="286">
        <v>0</v>
      </c>
      <c r="F300" s="286">
        <v>0</v>
      </c>
      <c r="G300" s="286">
        <v>0</v>
      </c>
      <c r="H300" s="286">
        <v>0</v>
      </c>
      <c r="I300" s="286">
        <v>0</v>
      </c>
      <c r="J300" s="286">
        <v>1</v>
      </c>
      <c r="K300" s="282"/>
      <c r="L300" s="282" t="s">
        <v>521</v>
      </c>
      <c r="M300" s="287"/>
      <c r="N300" s="282" t="s">
        <v>1637</v>
      </c>
      <c r="O300" s="282" t="s">
        <v>1662</v>
      </c>
      <c r="P300" s="282" t="s">
        <v>1662</v>
      </c>
      <c r="Q300" s="282" t="s">
        <v>1662</v>
      </c>
      <c r="R300" s="280" t="s">
        <v>732</v>
      </c>
      <c r="S300" s="282" t="s">
        <v>1663</v>
      </c>
      <c r="T300" s="287"/>
      <c r="U300" s="282" t="s">
        <v>26</v>
      </c>
      <c r="V300" s="287"/>
      <c r="W300" s="282" t="s">
        <v>564</v>
      </c>
      <c r="X300" s="286">
        <v>5</v>
      </c>
    </row>
    <row r="301" spans="1:24" ht="210" customHeight="1" x14ac:dyDescent="0.15">
      <c r="A301" s="282" t="s">
        <v>423</v>
      </c>
      <c r="B301" s="282" t="s">
        <v>1664</v>
      </c>
      <c r="C301" s="286">
        <v>0</v>
      </c>
      <c r="D301" s="286">
        <v>0</v>
      </c>
      <c r="E301" s="286">
        <v>0</v>
      </c>
      <c r="F301" s="286">
        <v>0</v>
      </c>
      <c r="G301" s="286">
        <v>0</v>
      </c>
      <c r="H301" s="286">
        <v>0</v>
      </c>
      <c r="I301" s="286">
        <v>0</v>
      </c>
      <c r="J301" s="286">
        <v>1</v>
      </c>
      <c r="K301" s="282"/>
      <c r="L301" s="282" t="s">
        <v>521</v>
      </c>
      <c r="M301" s="287"/>
      <c r="N301" s="282" t="s">
        <v>1637</v>
      </c>
      <c r="O301" s="287"/>
      <c r="P301" s="282" t="s">
        <v>1547</v>
      </c>
      <c r="Q301" s="282" t="s">
        <v>1665</v>
      </c>
      <c r="R301" s="280" t="s">
        <v>732</v>
      </c>
      <c r="S301" s="290" t="s">
        <v>1666</v>
      </c>
      <c r="T301" s="287"/>
      <c r="U301" s="282" t="s">
        <v>30</v>
      </c>
      <c r="V301" s="287"/>
      <c r="W301" s="282" t="s">
        <v>564</v>
      </c>
      <c r="X301" s="286">
        <v>5</v>
      </c>
    </row>
    <row r="302" spans="1:24" ht="87" customHeight="1" x14ac:dyDescent="0.2">
      <c r="A302" s="282" t="s">
        <v>424</v>
      </c>
      <c r="B302" s="282" t="s">
        <v>1667</v>
      </c>
      <c r="C302" s="286">
        <v>0</v>
      </c>
      <c r="D302" s="286">
        <v>0</v>
      </c>
      <c r="E302" s="286">
        <v>0</v>
      </c>
      <c r="F302" s="286">
        <v>0</v>
      </c>
      <c r="G302" s="286">
        <v>0</v>
      </c>
      <c r="H302" s="286">
        <v>0</v>
      </c>
      <c r="I302" s="286">
        <v>0</v>
      </c>
      <c r="J302" s="286">
        <v>1</v>
      </c>
      <c r="K302" s="282"/>
      <c r="L302" s="282" t="s">
        <v>521</v>
      </c>
      <c r="M302" s="287"/>
      <c r="N302" s="282" t="s">
        <v>1637</v>
      </c>
      <c r="O302" s="287"/>
      <c r="P302" s="282" t="s">
        <v>1547</v>
      </c>
      <c r="Q302" s="282" t="s">
        <v>1668</v>
      </c>
      <c r="R302" s="280" t="s">
        <v>732</v>
      </c>
      <c r="S302" s="287" t="s">
        <v>1669</v>
      </c>
      <c r="T302" s="287" t="s">
        <v>1670</v>
      </c>
      <c r="U302" s="282" t="s">
        <v>30</v>
      </c>
      <c r="V302" s="287"/>
      <c r="W302" s="282" t="s">
        <v>564</v>
      </c>
      <c r="X302" s="286">
        <v>5</v>
      </c>
    </row>
    <row r="303" spans="1:24" ht="97.5" customHeight="1" x14ac:dyDescent="0.2">
      <c r="A303" s="283" t="s">
        <v>301</v>
      </c>
      <c r="B303" s="280" t="s">
        <v>1671</v>
      </c>
      <c r="C303" s="280">
        <v>0</v>
      </c>
      <c r="D303" s="280">
        <v>0</v>
      </c>
      <c r="E303" s="280">
        <v>0</v>
      </c>
      <c r="F303" s="280">
        <v>0</v>
      </c>
      <c r="G303" s="280">
        <v>0</v>
      </c>
      <c r="H303" s="280">
        <v>0</v>
      </c>
      <c r="I303" s="280">
        <v>1</v>
      </c>
      <c r="J303" s="280">
        <v>0</v>
      </c>
      <c r="K303" s="280" t="s">
        <v>535</v>
      </c>
      <c r="L303" s="280" t="s">
        <v>469</v>
      </c>
      <c r="M303" s="280"/>
      <c r="N303" s="280" t="s">
        <v>1637</v>
      </c>
      <c r="O303" s="280" t="s">
        <v>1672</v>
      </c>
      <c r="P303" s="280" t="s">
        <v>1673</v>
      </c>
      <c r="Q303" s="280" t="s">
        <v>1674</v>
      </c>
      <c r="S303" s="280"/>
      <c r="T303" s="280"/>
      <c r="U303" s="280" t="s">
        <v>469</v>
      </c>
      <c r="V303" s="280"/>
      <c r="W303" s="280"/>
      <c r="X303" s="280"/>
    </row>
    <row r="304" spans="1:24" ht="97.5" customHeight="1" x14ac:dyDescent="0.2">
      <c r="A304" s="283" t="s">
        <v>302</v>
      </c>
      <c r="B304" s="280" t="s">
        <v>1675</v>
      </c>
      <c r="C304" s="280">
        <v>0</v>
      </c>
      <c r="D304" s="280">
        <v>0</v>
      </c>
      <c r="E304" s="280">
        <v>0</v>
      </c>
      <c r="F304" s="280">
        <v>0</v>
      </c>
      <c r="G304" s="280">
        <v>0</v>
      </c>
      <c r="H304" s="280">
        <v>0</v>
      </c>
      <c r="I304" s="280">
        <v>1</v>
      </c>
      <c r="J304" s="280">
        <v>0</v>
      </c>
      <c r="K304" s="280" t="s">
        <v>535</v>
      </c>
      <c r="L304" s="280" t="s">
        <v>469</v>
      </c>
      <c r="M304" s="280"/>
      <c r="N304" s="280" t="s">
        <v>1637</v>
      </c>
      <c r="O304" s="280" t="s">
        <v>1676</v>
      </c>
      <c r="P304" s="280" t="s">
        <v>1677</v>
      </c>
      <c r="Q304" s="280" t="s">
        <v>1678</v>
      </c>
      <c r="S304" s="280"/>
      <c r="T304" s="280"/>
      <c r="U304" s="280" t="s">
        <v>469</v>
      </c>
      <c r="V304" s="280"/>
      <c r="W304" s="280"/>
      <c r="X304" s="280"/>
    </row>
    <row r="305" spans="1:24" ht="111.75" customHeight="1" x14ac:dyDescent="0.2">
      <c r="A305" s="285" t="s">
        <v>303</v>
      </c>
      <c r="B305" s="281" t="s">
        <v>1679</v>
      </c>
      <c r="C305" s="280">
        <v>0</v>
      </c>
      <c r="D305" s="280">
        <v>0</v>
      </c>
      <c r="E305" s="280">
        <v>0</v>
      </c>
      <c r="F305" s="280">
        <v>0</v>
      </c>
      <c r="G305" s="280">
        <v>0</v>
      </c>
      <c r="H305" s="280">
        <v>0</v>
      </c>
      <c r="I305" s="280">
        <v>1</v>
      </c>
      <c r="J305" s="280">
        <v>0</v>
      </c>
      <c r="K305" s="280"/>
      <c r="L305" s="280" t="s">
        <v>520</v>
      </c>
      <c r="M305" s="280"/>
      <c r="N305" s="280" t="s">
        <v>1637</v>
      </c>
      <c r="O305" s="280" t="s">
        <v>1680</v>
      </c>
      <c r="P305" s="280" t="s">
        <v>1681</v>
      </c>
      <c r="Q305" s="280" t="s">
        <v>1682</v>
      </c>
      <c r="R305" s="280"/>
      <c r="S305" s="280" t="s">
        <v>1683</v>
      </c>
      <c r="T305" s="280" t="s">
        <v>1684</v>
      </c>
      <c r="U305" s="280" t="s">
        <v>30</v>
      </c>
      <c r="V305" s="280"/>
      <c r="W305" s="280" t="s">
        <v>606</v>
      </c>
      <c r="X305" s="280">
        <f>IF($W305="Critical Importance",20,IF($W305="Minor Importance",5,10))</f>
        <v>20</v>
      </c>
    </row>
    <row r="306" spans="1:24" ht="84" customHeight="1" x14ac:dyDescent="0.2">
      <c r="A306" s="285" t="s">
        <v>304</v>
      </c>
      <c r="B306" s="281" t="s">
        <v>1685</v>
      </c>
      <c r="C306" s="280">
        <v>0</v>
      </c>
      <c r="D306" s="280">
        <v>0</v>
      </c>
      <c r="E306" s="280">
        <v>0</v>
      </c>
      <c r="F306" s="280">
        <v>0</v>
      </c>
      <c r="G306" s="280">
        <v>0</v>
      </c>
      <c r="H306" s="280">
        <v>0</v>
      </c>
      <c r="I306" s="280">
        <v>1</v>
      </c>
      <c r="J306" s="280">
        <v>0</v>
      </c>
      <c r="K306" s="280"/>
      <c r="L306" s="280" t="s">
        <v>520</v>
      </c>
      <c r="M306" s="280"/>
      <c r="N306" s="280" t="s">
        <v>1637</v>
      </c>
      <c r="O306" s="280"/>
      <c r="P306" s="280" t="s">
        <v>1686</v>
      </c>
      <c r="Q306" s="280" t="s">
        <v>1687</v>
      </c>
      <c r="R306" s="280" t="s">
        <v>1688</v>
      </c>
      <c r="S306" s="280" t="s">
        <v>1689</v>
      </c>
      <c r="T306" s="280" t="s">
        <v>1690</v>
      </c>
      <c r="U306" s="280" t="s">
        <v>30</v>
      </c>
      <c r="V306" s="280"/>
      <c r="W306" s="280" t="s">
        <v>606</v>
      </c>
      <c r="X306" s="280">
        <f>IF($W306="Critical Importance",20,IF($W306="Minor Importance",5,10))</f>
        <v>20</v>
      </c>
    </row>
    <row r="307" spans="1:24" ht="126" customHeight="1" x14ac:dyDescent="0.2">
      <c r="A307" s="285" t="s">
        <v>305</v>
      </c>
      <c r="B307" s="281" t="s">
        <v>1691</v>
      </c>
      <c r="C307" s="280">
        <v>0</v>
      </c>
      <c r="D307" s="280">
        <v>0</v>
      </c>
      <c r="E307" s="280">
        <v>0</v>
      </c>
      <c r="F307" s="280">
        <v>0</v>
      </c>
      <c r="G307" s="280">
        <v>0</v>
      </c>
      <c r="H307" s="280">
        <v>0</v>
      </c>
      <c r="I307" s="280">
        <v>1</v>
      </c>
      <c r="J307" s="280">
        <v>0</v>
      </c>
      <c r="K307" s="280"/>
      <c r="L307" s="280" t="s">
        <v>520</v>
      </c>
      <c r="M307" s="280"/>
      <c r="N307" s="280" t="s">
        <v>1637</v>
      </c>
      <c r="O307" s="280"/>
      <c r="P307" s="280" t="s">
        <v>1692</v>
      </c>
      <c r="Q307" s="280" t="s">
        <v>1693</v>
      </c>
      <c r="R307" s="280"/>
      <c r="S307" s="280" t="s">
        <v>1694</v>
      </c>
      <c r="T307" s="280" t="s">
        <v>1695</v>
      </c>
      <c r="U307" s="280" t="s">
        <v>30</v>
      </c>
      <c r="V307" s="280"/>
      <c r="W307" s="280" t="s">
        <v>606</v>
      </c>
      <c r="X307" s="280">
        <f>IF($W307="Critical Importance",20,IF($W307="Minor Importance",5,10))</f>
        <v>20</v>
      </c>
    </row>
    <row r="308" spans="1:24" ht="153.75" customHeight="1" x14ac:dyDescent="0.2">
      <c r="A308" s="283" t="s">
        <v>306</v>
      </c>
      <c r="B308" s="280" t="s">
        <v>1696</v>
      </c>
      <c r="C308" s="280">
        <v>0</v>
      </c>
      <c r="D308" s="280">
        <v>0</v>
      </c>
      <c r="E308" s="280">
        <v>0</v>
      </c>
      <c r="F308" s="280">
        <v>0</v>
      </c>
      <c r="G308" s="280">
        <v>0</v>
      </c>
      <c r="H308" s="280">
        <v>0</v>
      </c>
      <c r="I308" s="280">
        <v>1</v>
      </c>
      <c r="J308" s="280">
        <v>0</v>
      </c>
      <c r="K308" s="280"/>
      <c r="L308" s="280" t="s">
        <v>469</v>
      </c>
      <c r="M308" s="280"/>
      <c r="N308" s="280" t="s">
        <v>1637</v>
      </c>
      <c r="O308" s="280" t="s">
        <v>1697</v>
      </c>
      <c r="P308" s="280"/>
      <c r="Q308" s="280"/>
      <c r="R308" s="280"/>
      <c r="S308" s="280" t="s">
        <v>1698</v>
      </c>
      <c r="T308" s="280" t="s">
        <v>1699</v>
      </c>
      <c r="U308" s="280" t="s">
        <v>469</v>
      </c>
      <c r="V308" s="280"/>
      <c r="W308" s="280"/>
      <c r="X308" s="280"/>
    </row>
    <row r="309" spans="1:24" ht="111.75" customHeight="1" x14ac:dyDescent="0.2">
      <c r="A309" s="283" t="s">
        <v>307</v>
      </c>
      <c r="B309" s="280" t="s">
        <v>1700</v>
      </c>
      <c r="C309" s="280">
        <v>0</v>
      </c>
      <c r="D309" s="280">
        <v>0</v>
      </c>
      <c r="E309" s="280">
        <v>0</v>
      </c>
      <c r="F309" s="280">
        <v>0</v>
      </c>
      <c r="G309" s="280">
        <v>0</v>
      </c>
      <c r="H309" s="280">
        <v>0</v>
      </c>
      <c r="I309" s="280">
        <v>1</v>
      </c>
      <c r="J309" s="280">
        <v>0</v>
      </c>
      <c r="K309" s="280"/>
      <c r="L309" s="280" t="s">
        <v>520</v>
      </c>
      <c r="M309" s="280"/>
      <c r="N309" s="280" t="s">
        <v>1637</v>
      </c>
      <c r="O309" s="280"/>
      <c r="P309" s="280" t="s">
        <v>1701</v>
      </c>
      <c r="Q309" s="280" t="s">
        <v>1702</v>
      </c>
      <c r="R309" s="280"/>
      <c r="S309" s="280" t="s">
        <v>1703</v>
      </c>
      <c r="T309" s="280" t="s">
        <v>1704</v>
      </c>
      <c r="U309" s="280" t="s">
        <v>30</v>
      </c>
      <c r="V309" s="280"/>
      <c r="W309" s="280" t="s">
        <v>555</v>
      </c>
      <c r="X309" s="280">
        <f t="shared" ref="X309:X317" si="8">IF($W309="Critical Importance",20,IF($W309="Minor Importance",5,10))</f>
        <v>10</v>
      </c>
    </row>
    <row r="310" spans="1:24" ht="111.75" customHeight="1" x14ac:dyDescent="0.2">
      <c r="A310" s="285" t="s">
        <v>308</v>
      </c>
      <c r="B310" s="281" t="s">
        <v>1705</v>
      </c>
      <c r="C310" s="280">
        <v>0</v>
      </c>
      <c r="D310" s="280">
        <v>0</v>
      </c>
      <c r="E310" s="280">
        <v>0</v>
      </c>
      <c r="F310" s="280">
        <v>0</v>
      </c>
      <c r="G310" s="280">
        <v>0</v>
      </c>
      <c r="H310" s="280">
        <v>0</v>
      </c>
      <c r="I310" s="280">
        <v>1</v>
      </c>
      <c r="J310" s="280">
        <v>0</v>
      </c>
      <c r="K310" s="280"/>
      <c r="L310" s="280" t="s">
        <v>520</v>
      </c>
      <c r="M310" s="280"/>
      <c r="N310" s="280" t="s">
        <v>1637</v>
      </c>
      <c r="O310" s="280"/>
      <c r="P310" s="280" t="s">
        <v>1706</v>
      </c>
      <c r="Q310" s="280"/>
      <c r="R310" s="280"/>
      <c r="S310" s="280" t="s">
        <v>1707</v>
      </c>
      <c r="T310" s="280" t="s">
        <v>1708</v>
      </c>
      <c r="U310" s="280" t="s">
        <v>30</v>
      </c>
      <c r="V310" s="280"/>
      <c r="W310" s="280" t="s">
        <v>606</v>
      </c>
      <c r="X310" s="280">
        <f t="shared" si="8"/>
        <v>20</v>
      </c>
    </row>
    <row r="311" spans="1:24" ht="168" customHeight="1" x14ac:dyDescent="0.2">
      <c r="A311" s="285" t="s">
        <v>309</v>
      </c>
      <c r="B311" s="281" t="s">
        <v>1709</v>
      </c>
      <c r="C311" s="280">
        <v>0</v>
      </c>
      <c r="D311" s="280">
        <v>0</v>
      </c>
      <c r="E311" s="280">
        <v>0</v>
      </c>
      <c r="F311" s="280">
        <v>0</v>
      </c>
      <c r="G311" s="280">
        <v>0</v>
      </c>
      <c r="H311" s="280">
        <v>0</v>
      </c>
      <c r="I311" s="280">
        <v>1</v>
      </c>
      <c r="J311" s="280">
        <v>0</v>
      </c>
      <c r="K311" s="280"/>
      <c r="L311" s="280" t="s">
        <v>520</v>
      </c>
      <c r="M311" s="280"/>
      <c r="N311" s="280" t="s">
        <v>1637</v>
      </c>
      <c r="O311" s="280"/>
      <c r="P311" s="280" t="s">
        <v>1710</v>
      </c>
      <c r="Q311" s="280" t="s">
        <v>1711</v>
      </c>
      <c r="R311" s="280"/>
      <c r="S311" s="280" t="s">
        <v>1712</v>
      </c>
      <c r="T311" s="280" t="s">
        <v>1713</v>
      </c>
      <c r="U311" s="280" t="s">
        <v>30</v>
      </c>
      <c r="V311" s="280"/>
      <c r="W311" s="280" t="s">
        <v>606</v>
      </c>
      <c r="X311" s="280">
        <f t="shared" si="8"/>
        <v>20</v>
      </c>
    </row>
    <row r="312" spans="1:24" ht="195.75" customHeight="1" x14ac:dyDescent="0.2">
      <c r="A312" s="285" t="s">
        <v>310</v>
      </c>
      <c r="B312" s="281" t="s">
        <v>1714</v>
      </c>
      <c r="C312" s="280">
        <v>0</v>
      </c>
      <c r="D312" s="280">
        <v>0</v>
      </c>
      <c r="E312" s="280">
        <v>0</v>
      </c>
      <c r="F312" s="280">
        <v>0</v>
      </c>
      <c r="G312" s="280">
        <v>0</v>
      </c>
      <c r="H312" s="280">
        <v>0</v>
      </c>
      <c r="I312" s="280">
        <v>1</v>
      </c>
      <c r="J312" s="280">
        <v>0</v>
      </c>
      <c r="K312" s="280"/>
      <c r="L312" s="280" t="s">
        <v>520</v>
      </c>
      <c r="M312" s="280"/>
      <c r="N312" s="280" t="s">
        <v>1637</v>
      </c>
      <c r="O312" s="280"/>
      <c r="P312" s="280" t="s">
        <v>1715</v>
      </c>
      <c r="Q312" s="280" t="s">
        <v>1716</v>
      </c>
      <c r="R312" s="280"/>
      <c r="S312" s="280" t="s">
        <v>1717</v>
      </c>
      <c r="T312" s="280" t="s">
        <v>1718</v>
      </c>
      <c r="U312" s="280" t="s">
        <v>30</v>
      </c>
      <c r="V312" s="280"/>
      <c r="W312" s="280" t="s">
        <v>606</v>
      </c>
      <c r="X312" s="280">
        <f t="shared" si="8"/>
        <v>20</v>
      </c>
    </row>
    <row r="313" spans="1:24" ht="97.5" customHeight="1" x14ac:dyDescent="0.2">
      <c r="A313" s="285" t="s">
        <v>311</v>
      </c>
      <c r="B313" s="281" t="s">
        <v>1719</v>
      </c>
      <c r="C313" s="280">
        <v>0</v>
      </c>
      <c r="D313" s="280">
        <v>0</v>
      </c>
      <c r="E313" s="280">
        <v>0</v>
      </c>
      <c r="F313" s="280">
        <v>0</v>
      </c>
      <c r="G313" s="280">
        <v>0</v>
      </c>
      <c r="H313" s="280">
        <v>0</v>
      </c>
      <c r="I313" s="280">
        <v>1</v>
      </c>
      <c r="J313" s="280">
        <v>0</v>
      </c>
      <c r="K313" s="280"/>
      <c r="L313" s="280" t="s">
        <v>520</v>
      </c>
      <c r="M313" s="280"/>
      <c r="N313" s="280" t="s">
        <v>1637</v>
      </c>
      <c r="O313" s="280"/>
      <c r="P313" s="280" t="s">
        <v>1720</v>
      </c>
      <c r="Q313" s="280" t="s">
        <v>1721</v>
      </c>
      <c r="R313" s="280" t="s">
        <v>732</v>
      </c>
      <c r="S313" s="280" t="s">
        <v>1722</v>
      </c>
      <c r="T313" s="280"/>
      <c r="U313" s="280" t="s">
        <v>30</v>
      </c>
      <c r="V313" s="280"/>
      <c r="W313" s="280" t="s">
        <v>606</v>
      </c>
      <c r="X313" s="280">
        <f t="shared" si="8"/>
        <v>20</v>
      </c>
    </row>
    <row r="314" spans="1:24" ht="181.5" customHeight="1" x14ac:dyDescent="0.2">
      <c r="A314" s="283" t="s">
        <v>312</v>
      </c>
      <c r="B314" s="280" t="s">
        <v>1723</v>
      </c>
      <c r="C314" s="280">
        <v>0</v>
      </c>
      <c r="D314" s="280">
        <v>0</v>
      </c>
      <c r="E314" s="280">
        <v>0</v>
      </c>
      <c r="F314" s="280">
        <v>0</v>
      </c>
      <c r="G314" s="280">
        <v>0</v>
      </c>
      <c r="H314" s="280">
        <v>0</v>
      </c>
      <c r="I314" s="280">
        <v>1</v>
      </c>
      <c r="J314" s="280">
        <v>0</v>
      </c>
      <c r="K314" s="280"/>
      <c r="L314" s="280" t="s">
        <v>520</v>
      </c>
      <c r="M314" s="280"/>
      <c r="N314" s="280" t="s">
        <v>1637</v>
      </c>
      <c r="O314" s="280" t="s">
        <v>1724</v>
      </c>
      <c r="P314" s="280" t="s">
        <v>1725</v>
      </c>
      <c r="Q314" s="280"/>
      <c r="R314" s="280"/>
      <c r="S314" s="280" t="s">
        <v>1726</v>
      </c>
      <c r="T314" s="280" t="s">
        <v>1727</v>
      </c>
      <c r="U314" s="280" t="s">
        <v>30</v>
      </c>
      <c r="V314" s="280"/>
      <c r="W314" s="280" t="s">
        <v>564</v>
      </c>
      <c r="X314" s="280">
        <f t="shared" si="8"/>
        <v>5</v>
      </c>
    </row>
    <row r="315" spans="1:24" ht="279.75" customHeight="1" x14ac:dyDescent="0.2">
      <c r="A315" s="285" t="s">
        <v>313</v>
      </c>
      <c r="B315" s="281" t="s">
        <v>1728</v>
      </c>
      <c r="C315" s="280">
        <v>0</v>
      </c>
      <c r="D315" s="280">
        <v>0</v>
      </c>
      <c r="E315" s="280">
        <v>0</v>
      </c>
      <c r="F315" s="280">
        <v>0</v>
      </c>
      <c r="G315" s="280">
        <v>0</v>
      </c>
      <c r="H315" s="280">
        <v>0</v>
      </c>
      <c r="I315" s="280">
        <v>1</v>
      </c>
      <c r="J315" s="280">
        <v>0</v>
      </c>
      <c r="K315" s="280"/>
      <c r="L315" s="280" t="s">
        <v>520</v>
      </c>
      <c r="M315" s="280"/>
      <c r="N315" s="280" t="s">
        <v>1637</v>
      </c>
      <c r="O315" s="280" t="s">
        <v>1729</v>
      </c>
      <c r="P315" s="280" t="s">
        <v>1730</v>
      </c>
      <c r="Q315" s="280" t="s">
        <v>1731</v>
      </c>
      <c r="R315" s="280" t="s">
        <v>732</v>
      </c>
      <c r="S315" s="280" t="s">
        <v>1732</v>
      </c>
      <c r="T315" s="280" t="s">
        <v>1733</v>
      </c>
      <c r="U315" s="280" t="s">
        <v>30</v>
      </c>
      <c r="V315" s="280"/>
      <c r="W315" s="280" t="s">
        <v>606</v>
      </c>
      <c r="X315" s="280">
        <f t="shared" si="8"/>
        <v>20</v>
      </c>
    </row>
    <row r="316" spans="1:24" ht="294" customHeight="1" x14ac:dyDescent="0.2">
      <c r="A316" s="285" t="s">
        <v>314</v>
      </c>
      <c r="B316" s="281" t="s">
        <v>1734</v>
      </c>
      <c r="C316" s="280">
        <v>0</v>
      </c>
      <c r="D316" s="280">
        <v>0</v>
      </c>
      <c r="E316" s="280">
        <v>0</v>
      </c>
      <c r="F316" s="280">
        <v>0</v>
      </c>
      <c r="G316" s="280">
        <v>0</v>
      </c>
      <c r="H316" s="280">
        <v>0</v>
      </c>
      <c r="I316" s="280">
        <v>1</v>
      </c>
      <c r="J316" s="280">
        <v>0</v>
      </c>
      <c r="K316" s="280"/>
      <c r="L316" s="280" t="s">
        <v>520</v>
      </c>
      <c r="M316" s="280"/>
      <c r="N316" s="280" t="s">
        <v>1637</v>
      </c>
      <c r="O316" s="280" t="s">
        <v>1735</v>
      </c>
      <c r="P316" s="280" t="s">
        <v>1736</v>
      </c>
      <c r="Q316" s="280" t="s">
        <v>1737</v>
      </c>
      <c r="R316" s="280"/>
      <c r="S316" s="280" t="s">
        <v>1738</v>
      </c>
      <c r="T316" s="280" t="s">
        <v>1739</v>
      </c>
      <c r="U316" s="280" t="s">
        <v>26</v>
      </c>
      <c r="V316" s="280"/>
      <c r="W316" s="280" t="s">
        <v>606</v>
      </c>
      <c r="X316" s="280">
        <f t="shared" si="8"/>
        <v>20</v>
      </c>
    </row>
    <row r="317" spans="1:24" ht="210" customHeight="1" x14ac:dyDescent="0.2">
      <c r="A317" s="285" t="s">
        <v>315</v>
      </c>
      <c r="B317" s="281" t="s">
        <v>1740</v>
      </c>
      <c r="C317" s="280">
        <v>0</v>
      </c>
      <c r="D317" s="280">
        <v>0</v>
      </c>
      <c r="E317" s="280">
        <v>0</v>
      </c>
      <c r="F317" s="280">
        <v>0</v>
      </c>
      <c r="G317" s="280">
        <v>0</v>
      </c>
      <c r="H317" s="280">
        <v>0</v>
      </c>
      <c r="I317" s="280">
        <v>1</v>
      </c>
      <c r="J317" s="280">
        <v>0</v>
      </c>
      <c r="K317" s="280"/>
      <c r="L317" s="280" t="s">
        <v>520</v>
      </c>
      <c r="M317" s="280"/>
      <c r="N317" s="280" t="s">
        <v>1637</v>
      </c>
      <c r="O317" s="280" t="s">
        <v>1741</v>
      </c>
      <c r="P317" s="280" t="s">
        <v>1742</v>
      </c>
      <c r="Q317" s="280" t="s">
        <v>1743</v>
      </c>
      <c r="R317" s="280"/>
      <c r="S317" s="280" t="s">
        <v>1744</v>
      </c>
      <c r="T317" s="280" t="s">
        <v>1745</v>
      </c>
      <c r="U317" s="280" t="s">
        <v>30</v>
      </c>
      <c r="V317" s="280"/>
      <c r="W317" s="280" t="s">
        <v>606</v>
      </c>
      <c r="X317" s="280">
        <f t="shared" si="8"/>
        <v>20</v>
      </c>
    </row>
    <row r="318" spans="1:24" ht="195.75" customHeight="1" x14ac:dyDescent="0.2">
      <c r="A318" s="283" t="s">
        <v>316</v>
      </c>
      <c r="B318" s="280" t="s">
        <v>1746</v>
      </c>
      <c r="C318" s="280">
        <v>0</v>
      </c>
      <c r="D318" s="280">
        <v>0</v>
      </c>
      <c r="E318" s="280">
        <v>0</v>
      </c>
      <c r="F318" s="280">
        <v>0</v>
      </c>
      <c r="G318" s="280">
        <v>0</v>
      </c>
      <c r="H318" s="280">
        <v>0</v>
      </c>
      <c r="I318" s="280">
        <v>1</v>
      </c>
      <c r="J318" s="280">
        <v>0</v>
      </c>
      <c r="K318" s="280"/>
      <c r="L318" s="280" t="s">
        <v>469</v>
      </c>
      <c r="M318" s="280"/>
      <c r="N318" s="280" t="s">
        <v>1637</v>
      </c>
      <c r="O318" s="280" t="s">
        <v>1747</v>
      </c>
      <c r="P318" s="280"/>
      <c r="Q318" s="280"/>
      <c r="R318" s="280"/>
      <c r="S318" s="280" t="s">
        <v>1748</v>
      </c>
      <c r="T318" s="280" t="s">
        <v>1749</v>
      </c>
      <c r="U318" s="280" t="s">
        <v>469</v>
      </c>
      <c r="V318" s="280"/>
      <c r="W318" s="280"/>
      <c r="X318" s="280"/>
    </row>
    <row r="319" spans="1:24" ht="223.5" customHeight="1" x14ac:dyDescent="0.2">
      <c r="A319" s="283" t="s">
        <v>317</v>
      </c>
      <c r="B319" s="280" t="s">
        <v>1750</v>
      </c>
      <c r="C319" s="280">
        <v>0</v>
      </c>
      <c r="D319" s="280">
        <v>0</v>
      </c>
      <c r="E319" s="280">
        <v>0</v>
      </c>
      <c r="F319" s="280">
        <v>0</v>
      </c>
      <c r="G319" s="280">
        <v>0</v>
      </c>
      <c r="H319" s="280">
        <v>0</v>
      </c>
      <c r="I319" s="280">
        <v>1</v>
      </c>
      <c r="J319" s="280">
        <v>0</v>
      </c>
      <c r="K319" s="280"/>
      <c r="L319" s="280" t="s">
        <v>520</v>
      </c>
      <c r="M319" s="280"/>
      <c r="N319" s="280" t="s">
        <v>1637</v>
      </c>
      <c r="O319" s="280"/>
      <c r="P319" s="280" t="s">
        <v>1751</v>
      </c>
      <c r="Q319" s="280" t="s">
        <v>1752</v>
      </c>
      <c r="R319" s="280"/>
      <c r="S319" s="280" t="s">
        <v>1753</v>
      </c>
      <c r="T319" s="280" t="s">
        <v>1754</v>
      </c>
      <c r="U319" s="280" t="s">
        <v>30</v>
      </c>
      <c r="V319" s="280"/>
      <c r="W319" s="280" t="s">
        <v>555</v>
      </c>
      <c r="X319" s="280">
        <f t="shared" ref="X319:X334" si="9">IF($W319="Critical Importance",20,IF($W319="Minor Importance",5,10))</f>
        <v>10</v>
      </c>
    </row>
    <row r="320" spans="1:24" ht="336" customHeight="1" x14ac:dyDescent="0.2">
      <c r="A320" s="285" t="s">
        <v>318</v>
      </c>
      <c r="B320" s="281" t="s">
        <v>1755</v>
      </c>
      <c r="C320" s="280">
        <v>0</v>
      </c>
      <c r="D320" s="280">
        <v>0</v>
      </c>
      <c r="E320" s="280">
        <v>0</v>
      </c>
      <c r="F320" s="280">
        <v>0</v>
      </c>
      <c r="G320" s="280">
        <v>0</v>
      </c>
      <c r="H320" s="280">
        <v>0</v>
      </c>
      <c r="I320" s="280">
        <v>1</v>
      </c>
      <c r="J320" s="280">
        <v>0</v>
      </c>
      <c r="K320" s="280"/>
      <c r="L320" s="280" t="s">
        <v>520</v>
      </c>
      <c r="M320" s="280"/>
      <c r="N320" s="280" t="s">
        <v>1756</v>
      </c>
      <c r="O320" s="280" t="s">
        <v>1757</v>
      </c>
      <c r="P320" s="280" t="s">
        <v>1758</v>
      </c>
      <c r="Q320" s="280" t="s">
        <v>1759</v>
      </c>
      <c r="R320" s="280"/>
      <c r="S320" s="280" t="s">
        <v>1760</v>
      </c>
      <c r="T320" s="280" t="s">
        <v>1761</v>
      </c>
      <c r="U320" s="280" t="s">
        <v>30</v>
      </c>
      <c r="V320" s="280"/>
      <c r="W320" s="280" t="s">
        <v>606</v>
      </c>
      <c r="X320" s="280">
        <f t="shared" si="9"/>
        <v>20</v>
      </c>
    </row>
    <row r="321" spans="1:24" ht="126" customHeight="1" x14ac:dyDescent="0.2">
      <c r="A321" s="285" t="s">
        <v>319</v>
      </c>
      <c r="B321" s="281" t="s">
        <v>1762</v>
      </c>
      <c r="C321" s="280">
        <v>0</v>
      </c>
      <c r="D321" s="280">
        <v>0</v>
      </c>
      <c r="E321" s="280">
        <v>0</v>
      </c>
      <c r="F321" s="280">
        <v>0</v>
      </c>
      <c r="G321" s="280">
        <v>0</v>
      </c>
      <c r="H321" s="280">
        <v>0</v>
      </c>
      <c r="I321" s="280">
        <v>1</v>
      </c>
      <c r="J321" s="280">
        <v>0</v>
      </c>
      <c r="K321" s="280"/>
      <c r="L321" s="280" t="s">
        <v>520</v>
      </c>
      <c r="M321" s="280"/>
      <c r="N321" s="280" t="s">
        <v>1756</v>
      </c>
      <c r="O321" s="280"/>
      <c r="P321" s="280" t="s">
        <v>1763</v>
      </c>
      <c r="Q321" s="280" t="s">
        <v>1764</v>
      </c>
      <c r="R321" s="280"/>
      <c r="S321" s="280" t="s">
        <v>1765</v>
      </c>
      <c r="T321" s="280" t="s">
        <v>1766</v>
      </c>
      <c r="U321" s="280" t="s">
        <v>30</v>
      </c>
      <c r="V321" s="280"/>
      <c r="W321" s="280" t="s">
        <v>606</v>
      </c>
      <c r="X321" s="280">
        <f t="shared" si="9"/>
        <v>20</v>
      </c>
    </row>
    <row r="322" spans="1:24" ht="144.75" customHeight="1" x14ac:dyDescent="0.2">
      <c r="A322" s="283" t="s">
        <v>320</v>
      </c>
      <c r="B322" s="280" t="s">
        <v>1767</v>
      </c>
      <c r="C322" s="280">
        <v>0</v>
      </c>
      <c r="D322" s="280">
        <v>0</v>
      </c>
      <c r="E322" s="280">
        <v>0</v>
      </c>
      <c r="F322" s="280">
        <v>0</v>
      </c>
      <c r="G322" s="280">
        <v>0</v>
      </c>
      <c r="H322" s="280">
        <v>0</v>
      </c>
      <c r="I322" s="280">
        <v>1</v>
      </c>
      <c r="J322" s="280">
        <v>0</v>
      </c>
      <c r="K322" s="280"/>
      <c r="L322" s="280" t="s">
        <v>520</v>
      </c>
      <c r="M322" s="280"/>
      <c r="N322" s="280" t="s">
        <v>1756</v>
      </c>
      <c r="O322" s="280"/>
      <c r="P322" s="280" t="s">
        <v>1768</v>
      </c>
      <c r="Q322" s="280" t="s">
        <v>1769</v>
      </c>
      <c r="R322" s="280"/>
      <c r="S322" s="280" t="s">
        <v>1770</v>
      </c>
      <c r="T322" s="280" t="s">
        <v>1771</v>
      </c>
      <c r="U322" s="280" t="s">
        <v>30</v>
      </c>
      <c r="V322" s="280"/>
      <c r="W322" s="280" t="s">
        <v>555</v>
      </c>
      <c r="X322" s="280">
        <f t="shared" si="9"/>
        <v>10</v>
      </c>
    </row>
    <row r="323" spans="1:24" ht="90" customHeight="1" x14ac:dyDescent="0.2">
      <c r="A323" s="283" t="s">
        <v>321</v>
      </c>
      <c r="B323" s="280" t="s">
        <v>1772</v>
      </c>
      <c r="C323" s="280">
        <v>0</v>
      </c>
      <c r="D323" s="280">
        <v>0</v>
      </c>
      <c r="E323" s="280">
        <v>0</v>
      </c>
      <c r="F323" s="280">
        <v>0</v>
      </c>
      <c r="G323" s="280">
        <v>0</v>
      </c>
      <c r="H323" s="280">
        <v>0</v>
      </c>
      <c r="I323" s="280">
        <v>1</v>
      </c>
      <c r="J323" s="280">
        <v>0</v>
      </c>
      <c r="K323" s="280"/>
      <c r="L323" s="280" t="s">
        <v>520</v>
      </c>
      <c r="M323" s="280"/>
      <c r="N323" s="280" t="s">
        <v>1756</v>
      </c>
      <c r="O323" s="280"/>
      <c r="P323" s="280" t="s">
        <v>1773</v>
      </c>
      <c r="Q323" s="280" t="s">
        <v>1774</v>
      </c>
      <c r="R323" s="280"/>
      <c r="S323" s="280" t="s">
        <v>1775</v>
      </c>
      <c r="T323" s="280" t="s">
        <v>1776</v>
      </c>
      <c r="U323" s="280" t="s">
        <v>30</v>
      </c>
      <c r="V323" s="280"/>
      <c r="W323" s="280" t="s">
        <v>555</v>
      </c>
      <c r="X323" s="280">
        <f t="shared" si="9"/>
        <v>10</v>
      </c>
    </row>
    <row r="324" spans="1:24" ht="90" customHeight="1" x14ac:dyDescent="0.2">
      <c r="A324" s="283" t="s">
        <v>322</v>
      </c>
      <c r="B324" s="280" t="s">
        <v>1777</v>
      </c>
      <c r="C324" s="280">
        <v>0</v>
      </c>
      <c r="D324" s="280">
        <v>0</v>
      </c>
      <c r="E324" s="280">
        <v>0</v>
      </c>
      <c r="F324" s="280">
        <v>0</v>
      </c>
      <c r="G324" s="280">
        <v>0</v>
      </c>
      <c r="H324" s="280">
        <v>0</v>
      </c>
      <c r="I324" s="280">
        <v>1</v>
      </c>
      <c r="J324" s="280">
        <v>0</v>
      </c>
      <c r="K324" s="280"/>
      <c r="L324" s="280" t="s">
        <v>520</v>
      </c>
      <c r="M324" s="280"/>
      <c r="N324" s="280" t="s">
        <v>1756</v>
      </c>
      <c r="O324" s="280"/>
      <c r="P324" s="280" t="s">
        <v>1778</v>
      </c>
      <c r="Q324" s="280" t="s">
        <v>1779</v>
      </c>
      <c r="R324" s="280"/>
      <c r="S324" s="280" t="s">
        <v>1775</v>
      </c>
      <c r="T324" s="280"/>
      <c r="U324" s="280" t="s">
        <v>30</v>
      </c>
      <c r="V324" s="280"/>
      <c r="W324" s="280" t="s">
        <v>564</v>
      </c>
      <c r="X324" s="280">
        <f t="shared" si="9"/>
        <v>5</v>
      </c>
    </row>
    <row r="325" spans="1:24" ht="90" customHeight="1" x14ac:dyDescent="0.2">
      <c r="A325" s="283" t="s">
        <v>323</v>
      </c>
      <c r="B325" s="280" t="s">
        <v>1780</v>
      </c>
      <c r="C325" s="280">
        <v>0</v>
      </c>
      <c r="D325" s="280">
        <v>0</v>
      </c>
      <c r="E325" s="280">
        <v>0</v>
      </c>
      <c r="F325" s="280">
        <v>0</v>
      </c>
      <c r="G325" s="280">
        <v>0</v>
      </c>
      <c r="H325" s="280">
        <v>0</v>
      </c>
      <c r="I325" s="280">
        <v>1</v>
      </c>
      <c r="J325" s="280">
        <v>0</v>
      </c>
      <c r="K325" s="280"/>
      <c r="L325" s="280" t="s">
        <v>520</v>
      </c>
      <c r="M325" s="280"/>
      <c r="N325" s="280" t="s">
        <v>1756</v>
      </c>
      <c r="O325" s="280"/>
      <c r="P325" s="280" t="s">
        <v>1781</v>
      </c>
      <c r="Q325" s="280" t="s">
        <v>1782</v>
      </c>
      <c r="R325" s="280"/>
      <c r="S325" s="280" t="s">
        <v>1783</v>
      </c>
      <c r="T325" s="280" t="s">
        <v>1784</v>
      </c>
      <c r="U325" s="280" t="s">
        <v>30</v>
      </c>
      <c r="V325" s="280"/>
      <c r="W325" s="280" t="s">
        <v>564</v>
      </c>
      <c r="X325" s="280">
        <f t="shared" si="9"/>
        <v>5</v>
      </c>
    </row>
    <row r="326" spans="1:24" ht="111.75" customHeight="1" x14ac:dyDescent="0.2">
      <c r="A326" s="283" t="s">
        <v>324</v>
      </c>
      <c r="B326" s="280" t="s">
        <v>1785</v>
      </c>
      <c r="C326" s="280">
        <v>0</v>
      </c>
      <c r="D326" s="280">
        <v>0</v>
      </c>
      <c r="E326" s="280">
        <v>0</v>
      </c>
      <c r="F326" s="280">
        <v>0</v>
      </c>
      <c r="G326" s="280">
        <v>0</v>
      </c>
      <c r="H326" s="280">
        <v>0</v>
      </c>
      <c r="I326" s="280">
        <v>1</v>
      </c>
      <c r="J326" s="280">
        <v>0</v>
      </c>
      <c r="K326" s="280"/>
      <c r="L326" s="280" t="s">
        <v>520</v>
      </c>
      <c r="M326" s="280"/>
      <c r="N326" s="280" t="s">
        <v>1756</v>
      </c>
      <c r="O326" s="280"/>
      <c r="P326" s="280" t="s">
        <v>1786</v>
      </c>
      <c r="Q326" s="280" t="s">
        <v>1787</v>
      </c>
      <c r="R326" s="280"/>
      <c r="S326" s="280" t="s">
        <v>1788</v>
      </c>
      <c r="T326" s="280" t="s">
        <v>1789</v>
      </c>
      <c r="U326" s="280" t="s">
        <v>30</v>
      </c>
      <c r="V326" s="280"/>
      <c r="W326" s="280" t="s">
        <v>564</v>
      </c>
      <c r="X326" s="280">
        <f t="shared" si="9"/>
        <v>5</v>
      </c>
    </row>
    <row r="327" spans="1:24" ht="90" customHeight="1" x14ac:dyDescent="0.2">
      <c r="A327" s="283" t="s">
        <v>325</v>
      </c>
      <c r="B327" s="280" t="s">
        <v>1790</v>
      </c>
      <c r="C327" s="280">
        <v>0</v>
      </c>
      <c r="D327" s="280">
        <v>0</v>
      </c>
      <c r="E327" s="280">
        <v>0</v>
      </c>
      <c r="F327" s="280">
        <v>0</v>
      </c>
      <c r="G327" s="280">
        <v>0</v>
      </c>
      <c r="H327" s="280">
        <v>0</v>
      </c>
      <c r="I327" s="280">
        <v>1</v>
      </c>
      <c r="J327" s="280">
        <v>0</v>
      </c>
      <c r="K327" s="280"/>
      <c r="L327" s="280" t="s">
        <v>520</v>
      </c>
      <c r="M327" s="280"/>
      <c r="N327" s="280" t="s">
        <v>1756</v>
      </c>
      <c r="O327" s="280"/>
      <c r="P327" s="280" t="s">
        <v>1791</v>
      </c>
      <c r="Q327" s="280" t="s">
        <v>1792</v>
      </c>
      <c r="R327" s="280"/>
      <c r="S327" s="280" t="s">
        <v>1793</v>
      </c>
      <c r="T327" s="280" t="s">
        <v>1794</v>
      </c>
      <c r="U327" s="280" t="s">
        <v>30</v>
      </c>
      <c r="V327" s="280"/>
      <c r="W327" s="280" t="s">
        <v>564</v>
      </c>
      <c r="X327" s="280">
        <f t="shared" si="9"/>
        <v>5</v>
      </c>
    </row>
    <row r="328" spans="1:24" ht="90" customHeight="1" x14ac:dyDescent="0.2">
      <c r="A328" s="285" t="s">
        <v>326</v>
      </c>
      <c r="B328" s="281" t="s">
        <v>1795</v>
      </c>
      <c r="C328" s="280">
        <v>0</v>
      </c>
      <c r="D328" s="280">
        <v>0</v>
      </c>
      <c r="E328" s="280">
        <v>0</v>
      </c>
      <c r="F328" s="280">
        <v>0</v>
      </c>
      <c r="G328" s="280">
        <v>0</v>
      </c>
      <c r="H328" s="280">
        <v>0</v>
      </c>
      <c r="I328" s="280">
        <v>1</v>
      </c>
      <c r="J328" s="280">
        <v>0</v>
      </c>
      <c r="K328" s="280"/>
      <c r="L328" s="280" t="s">
        <v>520</v>
      </c>
      <c r="M328" s="280"/>
      <c r="N328" s="280" t="s">
        <v>1756</v>
      </c>
      <c r="O328" s="280"/>
      <c r="P328" s="280" t="s">
        <v>1796</v>
      </c>
      <c r="Q328" s="280" t="s">
        <v>1797</v>
      </c>
      <c r="R328" s="280"/>
      <c r="S328" s="280" t="s">
        <v>1798</v>
      </c>
      <c r="T328" s="280" t="s">
        <v>1799</v>
      </c>
      <c r="U328" s="280" t="s">
        <v>30</v>
      </c>
      <c r="V328" s="280"/>
      <c r="W328" s="280" t="s">
        <v>606</v>
      </c>
      <c r="X328" s="280">
        <f t="shared" si="9"/>
        <v>20</v>
      </c>
    </row>
    <row r="329" spans="1:24" ht="168" customHeight="1" x14ac:dyDescent="0.2">
      <c r="A329" s="285" t="s">
        <v>327</v>
      </c>
      <c r="B329" s="281" t="s">
        <v>1800</v>
      </c>
      <c r="C329" s="280">
        <v>0</v>
      </c>
      <c r="D329" s="280">
        <v>0</v>
      </c>
      <c r="E329" s="280">
        <v>0</v>
      </c>
      <c r="F329" s="280">
        <v>0</v>
      </c>
      <c r="G329" s="280">
        <v>0</v>
      </c>
      <c r="H329" s="280">
        <v>0</v>
      </c>
      <c r="I329" s="280">
        <v>1</v>
      </c>
      <c r="J329" s="280">
        <v>0</v>
      </c>
      <c r="K329" s="280"/>
      <c r="L329" s="280" t="s">
        <v>520</v>
      </c>
      <c r="M329" s="280"/>
      <c r="N329" s="280" t="s">
        <v>1801</v>
      </c>
      <c r="O329" s="280"/>
      <c r="P329" s="280" t="s">
        <v>1802</v>
      </c>
      <c r="Q329" s="280" t="s">
        <v>1803</v>
      </c>
      <c r="R329" s="280"/>
      <c r="S329" s="280" t="s">
        <v>1804</v>
      </c>
      <c r="T329" s="280" t="s">
        <v>1805</v>
      </c>
      <c r="U329" s="280" t="s">
        <v>30</v>
      </c>
      <c r="V329" s="280"/>
      <c r="W329" s="280" t="s">
        <v>606</v>
      </c>
      <c r="X329" s="280">
        <f t="shared" si="9"/>
        <v>20</v>
      </c>
    </row>
    <row r="330" spans="1:24" ht="90" customHeight="1" x14ac:dyDescent="0.2">
      <c r="A330" s="285" t="s">
        <v>328</v>
      </c>
      <c r="B330" s="281" t="s">
        <v>1806</v>
      </c>
      <c r="C330" s="280">
        <v>0</v>
      </c>
      <c r="D330" s="280">
        <v>0</v>
      </c>
      <c r="E330" s="280">
        <v>0</v>
      </c>
      <c r="F330" s="280">
        <v>0</v>
      </c>
      <c r="G330" s="280">
        <v>0</v>
      </c>
      <c r="H330" s="280">
        <v>0</v>
      </c>
      <c r="I330" s="280">
        <v>1</v>
      </c>
      <c r="J330" s="280">
        <v>0</v>
      </c>
      <c r="K330" s="280"/>
      <c r="L330" s="280" t="s">
        <v>520</v>
      </c>
      <c r="M330" s="280"/>
      <c r="N330" s="280" t="s">
        <v>1801</v>
      </c>
      <c r="O330" s="280"/>
      <c r="P330" s="280" t="s">
        <v>1807</v>
      </c>
      <c r="Q330" s="280" t="s">
        <v>1808</v>
      </c>
      <c r="R330" s="280"/>
      <c r="S330" s="280" t="s">
        <v>1809</v>
      </c>
      <c r="T330" s="280" t="s">
        <v>1810</v>
      </c>
      <c r="U330" s="280" t="s">
        <v>30</v>
      </c>
      <c r="V330" s="280"/>
      <c r="W330" s="280" t="s">
        <v>606</v>
      </c>
      <c r="X330" s="280">
        <f t="shared" si="9"/>
        <v>20</v>
      </c>
    </row>
    <row r="331" spans="1:24" ht="90" customHeight="1" x14ac:dyDescent="0.2">
      <c r="A331" s="285" t="s">
        <v>329</v>
      </c>
      <c r="B331" s="281" t="s">
        <v>1811</v>
      </c>
      <c r="C331" s="280">
        <v>0</v>
      </c>
      <c r="D331" s="280">
        <v>0</v>
      </c>
      <c r="E331" s="280">
        <v>0</v>
      </c>
      <c r="F331" s="280">
        <v>0</v>
      </c>
      <c r="G331" s="280">
        <v>0</v>
      </c>
      <c r="H331" s="280">
        <v>0</v>
      </c>
      <c r="I331" s="280">
        <v>1</v>
      </c>
      <c r="J331" s="280">
        <v>0</v>
      </c>
      <c r="K331" s="280"/>
      <c r="L331" s="280" t="s">
        <v>520</v>
      </c>
      <c r="M331" s="280"/>
      <c r="N331" s="280" t="s">
        <v>1812</v>
      </c>
      <c r="O331" s="280"/>
      <c r="P331" s="280" t="s">
        <v>1813</v>
      </c>
      <c r="Q331" s="280" t="s">
        <v>1814</v>
      </c>
      <c r="R331" s="280"/>
      <c r="S331" s="280" t="s">
        <v>1815</v>
      </c>
      <c r="T331" s="280" t="s">
        <v>1816</v>
      </c>
      <c r="U331" s="280" t="s">
        <v>30</v>
      </c>
      <c r="V331" s="280"/>
      <c r="W331" s="280" t="s">
        <v>606</v>
      </c>
      <c r="X331" s="280">
        <f t="shared" si="9"/>
        <v>20</v>
      </c>
    </row>
    <row r="332" spans="1:24" ht="90" customHeight="1" x14ac:dyDescent="0.2">
      <c r="A332" s="283" t="s">
        <v>330</v>
      </c>
      <c r="B332" s="280" t="s">
        <v>1817</v>
      </c>
      <c r="C332" s="280">
        <v>0</v>
      </c>
      <c r="D332" s="280">
        <v>0</v>
      </c>
      <c r="E332" s="280">
        <v>0</v>
      </c>
      <c r="F332" s="280">
        <v>0</v>
      </c>
      <c r="G332" s="280">
        <v>0</v>
      </c>
      <c r="H332" s="280">
        <v>0</v>
      </c>
      <c r="I332" s="280">
        <v>1</v>
      </c>
      <c r="J332" s="280">
        <v>0</v>
      </c>
      <c r="K332" s="280"/>
      <c r="L332" s="280" t="s">
        <v>520</v>
      </c>
      <c r="M332" s="280"/>
      <c r="N332" s="280" t="s">
        <v>1801</v>
      </c>
      <c r="O332" s="280"/>
      <c r="P332" s="280" t="s">
        <v>1818</v>
      </c>
      <c r="Q332" s="280" t="s">
        <v>1819</v>
      </c>
      <c r="R332" s="280"/>
      <c r="S332" s="280" t="s">
        <v>1820</v>
      </c>
      <c r="T332" s="280" t="s">
        <v>1821</v>
      </c>
      <c r="U332" s="280" t="s">
        <v>30</v>
      </c>
      <c r="V332" s="280"/>
      <c r="W332" s="280" t="s">
        <v>555</v>
      </c>
      <c r="X332" s="280">
        <f t="shared" si="9"/>
        <v>10</v>
      </c>
    </row>
    <row r="333" spans="1:24" ht="90" customHeight="1" x14ac:dyDescent="0.2">
      <c r="A333" s="283" t="s">
        <v>331</v>
      </c>
      <c r="B333" s="280" t="s">
        <v>1822</v>
      </c>
      <c r="C333" s="280">
        <v>0</v>
      </c>
      <c r="D333" s="280">
        <v>0</v>
      </c>
      <c r="E333" s="280">
        <v>0</v>
      </c>
      <c r="F333" s="280">
        <v>0</v>
      </c>
      <c r="G333" s="280">
        <v>0</v>
      </c>
      <c r="H333" s="280">
        <v>0</v>
      </c>
      <c r="I333" s="280">
        <v>1</v>
      </c>
      <c r="J333" s="280">
        <v>0</v>
      </c>
      <c r="K333" s="280"/>
      <c r="L333" s="280" t="s">
        <v>520</v>
      </c>
      <c r="M333" s="280"/>
      <c r="N333" s="280" t="s">
        <v>1801</v>
      </c>
      <c r="O333" s="280"/>
      <c r="P333" s="280" t="s">
        <v>1823</v>
      </c>
      <c r="Q333" s="280" t="s">
        <v>1824</v>
      </c>
      <c r="R333" s="280"/>
      <c r="S333" s="280" t="s">
        <v>1825</v>
      </c>
      <c r="T333" s="280" t="s">
        <v>1826</v>
      </c>
      <c r="U333" s="280" t="s">
        <v>30</v>
      </c>
      <c r="V333" s="280"/>
      <c r="W333" s="280" t="s">
        <v>555</v>
      </c>
      <c r="X333" s="280">
        <f t="shared" si="9"/>
        <v>10</v>
      </c>
    </row>
    <row r="334" spans="1:24" ht="90" customHeight="1" x14ac:dyDescent="0.2">
      <c r="A334" s="283" t="s">
        <v>1827</v>
      </c>
      <c r="B334" s="280" t="s">
        <v>1828</v>
      </c>
      <c r="C334" s="280">
        <v>0</v>
      </c>
      <c r="D334" s="280">
        <v>0</v>
      </c>
      <c r="E334" s="280">
        <v>0</v>
      </c>
      <c r="F334" s="280">
        <v>0</v>
      </c>
      <c r="G334" s="280">
        <v>0</v>
      </c>
      <c r="H334" s="280">
        <v>0</v>
      </c>
      <c r="I334" s="280">
        <v>1</v>
      </c>
      <c r="J334" s="280">
        <v>0</v>
      </c>
      <c r="K334" s="280"/>
      <c r="L334" s="280" t="s">
        <v>520</v>
      </c>
      <c r="M334" s="280"/>
      <c r="N334" s="280" t="s">
        <v>1801</v>
      </c>
      <c r="O334" s="280" t="s">
        <v>1829</v>
      </c>
      <c r="P334" s="280"/>
      <c r="Q334" s="280"/>
      <c r="R334" s="280"/>
      <c r="S334" s="280"/>
      <c r="T334" s="280"/>
      <c r="U334" s="280" t="s">
        <v>30</v>
      </c>
      <c r="V334" s="280"/>
      <c r="W334" s="280" t="s">
        <v>564</v>
      </c>
      <c r="X334" s="280">
        <f t="shared" si="9"/>
        <v>5</v>
      </c>
    </row>
    <row r="335" spans="1:24" ht="13.5" customHeight="1" x14ac:dyDescent="0.2">
      <c r="A335" s="283"/>
      <c r="B335" s="283"/>
      <c r="C335" s="283"/>
      <c r="D335" s="283"/>
      <c r="E335" s="283"/>
      <c r="F335" s="283"/>
      <c r="G335" s="283"/>
      <c r="H335" s="283"/>
      <c r="I335" s="283"/>
      <c r="J335" s="283"/>
      <c r="K335" s="283"/>
      <c r="L335" s="283"/>
      <c r="M335" s="283"/>
      <c r="N335" s="283"/>
      <c r="O335" s="283"/>
      <c r="P335" s="283"/>
      <c r="Q335" s="283"/>
      <c r="R335" s="283"/>
      <c r="S335" s="283"/>
      <c r="T335" s="283"/>
      <c r="U335" s="283"/>
      <c r="V335" s="283"/>
      <c r="W335" s="283"/>
      <c r="X335" s="283"/>
    </row>
    <row r="336" spans="1:24" ht="13.5" customHeight="1" x14ac:dyDescent="0.2">
      <c r="A336" s="283"/>
      <c r="B336" s="283"/>
      <c r="C336" s="283"/>
      <c r="D336" s="283"/>
      <c r="E336" s="283"/>
      <c r="F336" s="283"/>
      <c r="G336" s="283"/>
      <c r="H336" s="283"/>
      <c r="I336" s="283"/>
      <c r="J336" s="283"/>
      <c r="K336" s="283"/>
      <c r="L336" s="283"/>
      <c r="M336" s="283"/>
      <c r="N336" s="283"/>
      <c r="O336" s="283"/>
      <c r="P336" s="283"/>
      <c r="Q336" s="283"/>
      <c r="R336" s="283"/>
      <c r="S336" s="283"/>
      <c r="T336" s="283"/>
      <c r="U336" s="283"/>
      <c r="V336" s="283"/>
      <c r="W336" s="283"/>
      <c r="X336" s="283"/>
    </row>
    <row r="337" spans="1:24" ht="13.5" customHeight="1" x14ac:dyDescent="0.2">
      <c r="A337" s="283"/>
      <c r="B337" s="283"/>
      <c r="C337" s="283"/>
      <c r="D337" s="283"/>
      <c r="E337" s="283"/>
      <c r="F337" s="283"/>
      <c r="G337" s="283"/>
      <c r="H337" s="283"/>
      <c r="I337" s="283"/>
      <c r="J337" s="283"/>
      <c r="K337" s="283"/>
      <c r="L337" s="283"/>
      <c r="M337" s="283"/>
      <c r="N337" s="283"/>
      <c r="O337" s="283"/>
      <c r="P337" s="283"/>
      <c r="Q337" s="283"/>
      <c r="R337" s="283"/>
      <c r="S337" s="283"/>
      <c r="T337" s="283"/>
      <c r="U337" s="283"/>
      <c r="V337" s="283"/>
      <c r="W337" s="283"/>
      <c r="X337" s="283"/>
    </row>
    <row r="338" spans="1:24" ht="13.5" customHeight="1" x14ac:dyDescent="0.2">
      <c r="A338" s="283"/>
      <c r="B338" s="283"/>
      <c r="C338" s="283"/>
      <c r="D338" s="283"/>
      <c r="E338" s="283"/>
      <c r="F338" s="283"/>
      <c r="G338" s="283"/>
      <c r="H338" s="283"/>
      <c r="I338" s="283"/>
      <c r="J338" s="283"/>
      <c r="K338" s="283"/>
      <c r="L338" s="283"/>
      <c r="M338" s="283"/>
      <c r="N338" s="283"/>
      <c r="O338" s="283"/>
      <c r="P338" s="283"/>
      <c r="Q338" s="283"/>
      <c r="R338" s="283"/>
      <c r="S338" s="283"/>
      <c r="T338" s="283"/>
      <c r="U338" s="283"/>
      <c r="V338" s="283"/>
      <c r="W338" s="283"/>
      <c r="X338" s="283"/>
    </row>
    <row r="339" spans="1:24" ht="13.5" customHeight="1" x14ac:dyDescent="0.2">
      <c r="A339" s="283"/>
      <c r="B339" s="283"/>
      <c r="C339" s="283"/>
      <c r="D339" s="283"/>
      <c r="E339" s="283"/>
      <c r="F339" s="283"/>
      <c r="G339" s="283"/>
      <c r="H339" s="283"/>
      <c r="I339" s="283"/>
      <c r="J339" s="283"/>
      <c r="K339" s="283"/>
      <c r="L339" s="283"/>
      <c r="M339" s="283"/>
      <c r="N339" s="283"/>
      <c r="O339" s="283"/>
      <c r="P339" s="283"/>
      <c r="Q339" s="283"/>
      <c r="R339" s="283"/>
      <c r="S339" s="283"/>
      <c r="T339" s="283"/>
      <c r="U339" s="283"/>
      <c r="V339" s="283"/>
      <c r="W339" s="283"/>
      <c r="X339" s="283"/>
    </row>
    <row r="340" spans="1:24" ht="13.5" customHeight="1" x14ac:dyDescent="0.2">
      <c r="A340" s="283"/>
      <c r="B340" s="283"/>
      <c r="C340" s="283"/>
      <c r="D340" s="283"/>
      <c r="E340" s="283"/>
      <c r="F340" s="283"/>
      <c r="G340" s="283"/>
      <c r="H340" s="283"/>
      <c r="I340" s="283"/>
      <c r="J340" s="283"/>
      <c r="K340" s="283"/>
      <c r="L340" s="283"/>
      <c r="M340" s="283"/>
      <c r="N340" s="283"/>
      <c r="O340" s="283"/>
      <c r="P340" s="283"/>
      <c r="Q340" s="283"/>
      <c r="R340" s="283"/>
      <c r="S340" s="283"/>
      <c r="T340" s="283"/>
      <c r="U340" s="283"/>
      <c r="V340" s="283"/>
      <c r="W340" s="283"/>
      <c r="X340" s="283"/>
    </row>
    <row r="341" spans="1:24" ht="13.5" customHeight="1" x14ac:dyDescent="0.2">
      <c r="A341" s="283"/>
      <c r="B341" s="283"/>
      <c r="C341" s="283"/>
      <c r="D341" s="283"/>
      <c r="E341" s="283"/>
      <c r="F341" s="283"/>
      <c r="G341" s="283"/>
      <c r="H341" s="283"/>
      <c r="I341" s="283"/>
      <c r="J341" s="283"/>
      <c r="K341" s="283"/>
      <c r="L341" s="283"/>
      <c r="M341" s="283"/>
      <c r="N341" s="283"/>
      <c r="O341" s="283"/>
      <c r="P341" s="283"/>
      <c r="Q341" s="283"/>
      <c r="R341" s="283"/>
      <c r="S341" s="283"/>
      <c r="T341" s="283"/>
      <c r="U341" s="283"/>
      <c r="V341" s="283"/>
      <c r="W341" s="283"/>
      <c r="X341" s="283"/>
    </row>
    <row r="342" spans="1:24" ht="13.5" customHeight="1" x14ac:dyDescent="0.2">
      <c r="A342" s="283"/>
      <c r="B342" s="283"/>
      <c r="C342" s="283"/>
      <c r="D342" s="283"/>
      <c r="E342" s="283"/>
      <c r="F342" s="283"/>
      <c r="G342" s="283"/>
      <c r="H342" s="283"/>
      <c r="I342" s="283"/>
      <c r="J342" s="283"/>
      <c r="K342" s="283"/>
      <c r="L342" s="283"/>
      <c r="M342" s="283"/>
      <c r="N342" s="283"/>
      <c r="O342" s="283"/>
      <c r="P342" s="283"/>
      <c r="Q342" s="283"/>
      <c r="R342" s="283"/>
      <c r="S342" s="283"/>
      <c r="T342" s="283"/>
      <c r="U342" s="283"/>
      <c r="V342" s="283"/>
      <c r="W342" s="283"/>
      <c r="X342" s="283"/>
    </row>
    <row r="343" spans="1:24" ht="13.5" customHeight="1" x14ac:dyDescent="0.2">
      <c r="A343" s="283"/>
      <c r="B343" s="283"/>
      <c r="C343" s="283"/>
      <c r="D343" s="283"/>
      <c r="E343" s="283"/>
      <c r="F343" s="283"/>
      <c r="G343" s="283"/>
      <c r="H343" s="283"/>
      <c r="I343" s="283"/>
      <c r="J343" s="283"/>
      <c r="K343" s="283"/>
      <c r="L343" s="283"/>
      <c r="M343" s="283"/>
      <c r="N343" s="283"/>
      <c r="O343" s="283"/>
      <c r="P343" s="283"/>
      <c r="Q343" s="283"/>
      <c r="R343" s="283"/>
      <c r="S343" s="283"/>
      <c r="T343" s="283"/>
      <c r="U343" s="283"/>
      <c r="V343" s="283"/>
      <c r="W343" s="283"/>
      <c r="X343" s="283"/>
    </row>
    <row r="344" spans="1:24" ht="13.5" customHeight="1" x14ac:dyDescent="0.2">
      <c r="A344" s="283"/>
      <c r="B344" s="283"/>
      <c r="C344" s="283"/>
      <c r="D344" s="283"/>
      <c r="E344" s="283"/>
      <c r="F344" s="283"/>
      <c r="G344" s="283"/>
      <c r="H344" s="283"/>
      <c r="I344" s="283"/>
      <c r="J344" s="283"/>
      <c r="K344" s="283"/>
      <c r="L344" s="283"/>
      <c r="M344" s="283"/>
      <c r="N344" s="283"/>
      <c r="O344" s="283"/>
      <c r="P344" s="283"/>
      <c r="Q344" s="283"/>
      <c r="R344" s="283"/>
      <c r="S344" s="283"/>
      <c r="T344" s="283"/>
      <c r="U344" s="283"/>
      <c r="V344" s="283"/>
      <c r="W344" s="283"/>
      <c r="X344" s="283"/>
    </row>
    <row r="345" spans="1:24" ht="13.5" customHeight="1" x14ac:dyDescent="0.2">
      <c r="A345" s="283"/>
      <c r="B345" s="283"/>
      <c r="C345" s="283"/>
      <c r="D345" s="283"/>
      <c r="E345" s="283"/>
      <c r="F345" s="283"/>
      <c r="G345" s="283"/>
      <c r="H345" s="283"/>
      <c r="I345" s="283"/>
      <c r="J345" s="283"/>
      <c r="K345" s="283"/>
      <c r="L345" s="283"/>
      <c r="M345" s="283"/>
      <c r="N345" s="283"/>
      <c r="O345" s="283"/>
      <c r="P345" s="283"/>
      <c r="Q345" s="283"/>
      <c r="R345" s="283"/>
      <c r="S345" s="283"/>
      <c r="T345" s="283"/>
      <c r="U345" s="283"/>
      <c r="V345" s="283"/>
      <c r="W345" s="283"/>
      <c r="X345" s="283"/>
    </row>
    <row r="346" spans="1:24" ht="13.5" customHeight="1" x14ac:dyDescent="0.2">
      <c r="A346" s="283"/>
      <c r="B346" s="283"/>
      <c r="C346" s="283"/>
      <c r="D346" s="283"/>
      <c r="E346" s="283"/>
      <c r="F346" s="283"/>
      <c r="G346" s="283"/>
      <c r="H346" s="283"/>
      <c r="I346" s="283"/>
      <c r="J346" s="283"/>
      <c r="K346" s="283"/>
      <c r="L346" s="283"/>
      <c r="M346" s="283"/>
      <c r="N346" s="283"/>
      <c r="O346" s="283"/>
      <c r="P346" s="283"/>
      <c r="Q346" s="283"/>
      <c r="R346" s="283"/>
      <c r="S346" s="283"/>
      <c r="T346" s="283"/>
      <c r="U346" s="283"/>
      <c r="V346" s="283"/>
      <c r="W346" s="283"/>
      <c r="X346" s="283"/>
    </row>
    <row r="347" spans="1:24" ht="13.5" customHeight="1" x14ac:dyDescent="0.2">
      <c r="A347" s="283"/>
      <c r="B347" s="283"/>
      <c r="C347" s="283"/>
      <c r="D347" s="283"/>
      <c r="E347" s="283"/>
      <c r="F347" s="283"/>
      <c r="G347" s="283"/>
      <c r="H347" s="283"/>
      <c r="I347" s="283"/>
      <c r="J347" s="283"/>
      <c r="K347" s="283"/>
      <c r="L347" s="283"/>
      <c r="M347" s="283"/>
      <c r="N347" s="283"/>
      <c r="O347" s="283"/>
      <c r="P347" s="283"/>
      <c r="Q347" s="283"/>
      <c r="R347" s="283"/>
      <c r="S347" s="283"/>
      <c r="T347" s="283"/>
      <c r="U347" s="283"/>
      <c r="V347" s="283"/>
      <c r="W347" s="283"/>
      <c r="X347" s="283"/>
    </row>
    <row r="348" spans="1:24" ht="13.5" customHeight="1" x14ac:dyDescent="0.2">
      <c r="A348" s="283"/>
      <c r="B348" s="283"/>
      <c r="C348" s="283"/>
      <c r="D348" s="283"/>
      <c r="E348" s="283"/>
      <c r="F348" s="283"/>
      <c r="G348" s="283"/>
      <c r="H348" s="283"/>
      <c r="I348" s="283"/>
      <c r="J348" s="283"/>
      <c r="K348" s="283"/>
      <c r="L348" s="283"/>
      <c r="M348" s="283"/>
      <c r="N348" s="283"/>
      <c r="O348" s="283"/>
      <c r="P348" s="283"/>
      <c r="Q348" s="283"/>
      <c r="R348" s="283"/>
      <c r="S348" s="283"/>
      <c r="T348" s="283"/>
      <c r="U348" s="283"/>
      <c r="V348" s="283"/>
      <c r="W348" s="283"/>
      <c r="X348" s="283"/>
    </row>
    <row r="349" spans="1:24" ht="13.5" customHeight="1" x14ac:dyDescent="0.2">
      <c r="A349" s="283"/>
      <c r="B349" s="283"/>
      <c r="C349" s="283"/>
      <c r="D349" s="283"/>
      <c r="E349" s="283"/>
      <c r="F349" s="283"/>
      <c r="G349" s="283"/>
      <c r="H349" s="283"/>
      <c r="I349" s="283"/>
      <c r="J349" s="283"/>
      <c r="K349" s="283"/>
      <c r="L349" s="283"/>
      <c r="M349" s="283"/>
      <c r="N349" s="283"/>
      <c r="O349" s="283"/>
      <c r="P349" s="283"/>
      <c r="Q349" s="283"/>
      <c r="R349" s="283"/>
      <c r="S349" s="283"/>
      <c r="T349" s="283"/>
      <c r="U349" s="283"/>
      <c r="V349" s="283"/>
      <c r="W349" s="283"/>
      <c r="X349" s="283"/>
    </row>
    <row r="350" spans="1:24" ht="13.5" customHeight="1" x14ac:dyDescent="0.2">
      <c r="A350" s="283"/>
      <c r="B350" s="283"/>
      <c r="C350" s="283"/>
      <c r="D350" s="283"/>
      <c r="E350" s="283"/>
      <c r="F350" s="283"/>
      <c r="G350" s="283"/>
      <c r="H350" s="283"/>
      <c r="I350" s="283"/>
      <c r="J350" s="283"/>
      <c r="K350" s="283"/>
      <c r="L350" s="283"/>
      <c r="M350" s="283"/>
      <c r="N350" s="283"/>
      <c r="O350" s="283"/>
      <c r="P350" s="283"/>
      <c r="Q350" s="283"/>
      <c r="R350" s="283"/>
      <c r="S350" s="283"/>
      <c r="T350" s="283"/>
      <c r="U350" s="283"/>
      <c r="V350" s="283"/>
      <c r="W350" s="283"/>
      <c r="X350" s="283"/>
    </row>
    <row r="351" spans="1:24" ht="13.5" customHeight="1" x14ac:dyDescent="0.2">
      <c r="A351" s="283"/>
      <c r="B351" s="283"/>
      <c r="C351" s="283"/>
      <c r="D351" s="283"/>
      <c r="E351" s="283"/>
      <c r="F351" s="283"/>
      <c r="G351" s="283"/>
      <c r="H351" s="283"/>
      <c r="I351" s="283"/>
      <c r="J351" s="283"/>
      <c r="K351" s="283"/>
      <c r="L351" s="283"/>
      <c r="M351" s="283"/>
      <c r="N351" s="283"/>
      <c r="O351" s="283"/>
      <c r="P351" s="283"/>
      <c r="Q351" s="283"/>
      <c r="R351" s="283"/>
      <c r="S351" s="283"/>
      <c r="T351" s="283"/>
      <c r="U351" s="283"/>
      <c r="V351" s="283"/>
      <c r="W351" s="283"/>
      <c r="X351" s="283"/>
    </row>
    <row r="352" spans="1:24" ht="13.5" customHeight="1" x14ac:dyDescent="0.2">
      <c r="A352" s="283"/>
      <c r="B352" s="283"/>
      <c r="C352" s="283"/>
      <c r="D352" s="283"/>
      <c r="E352" s="283"/>
      <c r="F352" s="283"/>
      <c r="G352" s="283"/>
      <c r="H352" s="283"/>
      <c r="I352" s="283"/>
      <c r="J352" s="283"/>
      <c r="K352" s="283"/>
      <c r="L352" s="283"/>
      <c r="M352" s="283"/>
      <c r="N352" s="283"/>
      <c r="O352" s="283"/>
      <c r="P352" s="283"/>
      <c r="Q352" s="283"/>
      <c r="R352" s="283"/>
      <c r="S352" s="283"/>
      <c r="T352" s="283"/>
      <c r="U352" s="283"/>
      <c r="V352" s="283"/>
      <c r="W352" s="283"/>
      <c r="X352" s="283"/>
    </row>
    <row r="353" spans="1:24" ht="13.5" customHeight="1" x14ac:dyDescent="0.2">
      <c r="A353" s="283"/>
      <c r="B353" s="283"/>
      <c r="C353" s="283"/>
      <c r="D353" s="283"/>
      <c r="E353" s="283"/>
      <c r="F353" s="283"/>
      <c r="G353" s="283"/>
      <c r="H353" s="283"/>
      <c r="I353" s="283"/>
      <c r="J353" s="283"/>
      <c r="K353" s="283"/>
      <c r="L353" s="283"/>
      <c r="M353" s="283"/>
      <c r="N353" s="283"/>
      <c r="O353" s="283"/>
      <c r="P353" s="283"/>
      <c r="Q353" s="283"/>
      <c r="R353" s="283"/>
      <c r="S353" s="283"/>
      <c r="T353" s="283"/>
      <c r="U353" s="283"/>
      <c r="V353" s="283"/>
      <c r="W353" s="283"/>
      <c r="X353" s="283"/>
    </row>
    <row r="354" spans="1:24" ht="13.5" customHeight="1" x14ac:dyDescent="0.2">
      <c r="A354" s="283"/>
      <c r="B354" s="283"/>
      <c r="C354" s="283"/>
      <c r="D354" s="283"/>
      <c r="E354" s="283"/>
      <c r="F354" s="283"/>
      <c r="G354" s="283"/>
      <c r="H354" s="283"/>
      <c r="I354" s="283"/>
      <c r="J354" s="283"/>
      <c r="K354" s="283"/>
      <c r="L354" s="283"/>
      <c r="M354" s="283"/>
      <c r="N354" s="283"/>
      <c r="O354" s="283"/>
      <c r="P354" s="283"/>
      <c r="Q354" s="283"/>
      <c r="R354" s="283"/>
      <c r="S354" s="283"/>
      <c r="T354" s="283"/>
      <c r="U354" s="283"/>
      <c r="V354" s="283"/>
      <c r="W354" s="283"/>
      <c r="X354" s="283"/>
    </row>
    <row r="355" spans="1:24" ht="13.5" customHeight="1" x14ac:dyDescent="0.2">
      <c r="A355" s="283"/>
      <c r="B355" s="283"/>
      <c r="C355" s="283"/>
      <c r="D355" s="283"/>
      <c r="E355" s="283"/>
      <c r="F355" s="283"/>
      <c r="G355" s="283"/>
      <c r="H355" s="283"/>
      <c r="I355" s="283"/>
      <c r="J355" s="283"/>
      <c r="K355" s="283"/>
      <c r="L355" s="283"/>
      <c r="M355" s="283"/>
      <c r="N355" s="283"/>
      <c r="O355" s="283"/>
      <c r="P355" s="283"/>
      <c r="Q355" s="283"/>
      <c r="R355" s="283"/>
      <c r="S355" s="283"/>
      <c r="T355" s="283"/>
      <c r="U355" s="283"/>
      <c r="V355" s="283"/>
      <c r="W355" s="283"/>
      <c r="X355" s="283"/>
    </row>
    <row r="356" spans="1:24" ht="13.5" customHeight="1" x14ac:dyDescent="0.2">
      <c r="A356" s="283"/>
      <c r="B356" s="283"/>
      <c r="C356" s="283"/>
      <c r="D356" s="283"/>
      <c r="E356" s="283"/>
      <c r="F356" s="283"/>
      <c r="G356" s="283"/>
      <c r="H356" s="283"/>
      <c r="I356" s="283"/>
      <c r="J356" s="283"/>
      <c r="K356" s="283"/>
      <c r="L356" s="283"/>
      <c r="M356" s="283"/>
      <c r="N356" s="283"/>
      <c r="O356" s="283"/>
      <c r="P356" s="283"/>
      <c r="Q356" s="283"/>
      <c r="R356" s="283"/>
      <c r="S356" s="283"/>
      <c r="T356" s="283"/>
      <c r="U356" s="283"/>
      <c r="V356" s="283"/>
      <c r="W356" s="283"/>
      <c r="X356" s="283"/>
    </row>
    <row r="357" spans="1:24" ht="13.5" customHeight="1" x14ac:dyDescent="0.2">
      <c r="A357" s="283"/>
      <c r="B357" s="283"/>
      <c r="C357" s="283"/>
      <c r="D357" s="283"/>
      <c r="E357" s="283"/>
      <c r="F357" s="283"/>
      <c r="G357" s="283"/>
      <c r="H357" s="283"/>
      <c r="I357" s="283"/>
      <c r="J357" s="283"/>
      <c r="K357" s="283"/>
      <c r="L357" s="283"/>
      <c r="M357" s="283"/>
      <c r="N357" s="283"/>
      <c r="O357" s="283"/>
      <c r="P357" s="283"/>
      <c r="Q357" s="283"/>
      <c r="R357" s="283"/>
      <c r="S357" s="283"/>
      <c r="T357" s="283"/>
      <c r="U357" s="283"/>
      <c r="V357" s="283"/>
      <c r="W357" s="283"/>
      <c r="X357" s="283"/>
    </row>
    <row r="358" spans="1:24" ht="13.5" customHeight="1" x14ac:dyDescent="0.2">
      <c r="A358" s="283"/>
      <c r="B358" s="283"/>
      <c r="C358" s="283"/>
      <c r="D358" s="283"/>
      <c r="E358" s="283"/>
      <c r="F358" s="283"/>
      <c r="G358" s="283"/>
      <c r="H358" s="283"/>
      <c r="I358" s="283"/>
      <c r="J358" s="283"/>
      <c r="K358" s="283"/>
      <c r="L358" s="283"/>
      <c r="M358" s="283"/>
      <c r="N358" s="283"/>
      <c r="O358" s="283"/>
      <c r="P358" s="283"/>
      <c r="Q358" s="283"/>
      <c r="R358" s="283"/>
      <c r="S358" s="283"/>
      <c r="T358" s="283"/>
      <c r="U358" s="283"/>
      <c r="V358" s="283"/>
      <c r="W358" s="283"/>
      <c r="X358" s="283"/>
    </row>
    <row r="359" spans="1:24" ht="13.5" customHeight="1" x14ac:dyDescent="0.2">
      <c r="A359" s="283"/>
      <c r="B359" s="283"/>
      <c r="C359" s="283"/>
      <c r="D359" s="283"/>
      <c r="E359" s="283"/>
      <c r="F359" s="283"/>
      <c r="G359" s="283"/>
      <c r="H359" s="283"/>
      <c r="I359" s="283"/>
      <c r="J359" s="283"/>
      <c r="K359" s="283"/>
      <c r="L359" s="283"/>
      <c r="M359" s="283"/>
      <c r="N359" s="283"/>
      <c r="O359" s="283"/>
      <c r="P359" s="283"/>
      <c r="Q359" s="283"/>
      <c r="R359" s="283"/>
      <c r="S359" s="283"/>
      <c r="T359" s="283"/>
      <c r="U359" s="283"/>
      <c r="V359" s="283"/>
      <c r="W359" s="283"/>
      <c r="X359" s="283"/>
    </row>
    <row r="360" spans="1:24" ht="13.5" customHeight="1" x14ac:dyDescent="0.2">
      <c r="A360" s="283"/>
      <c r="B360" s="283"/>
      <c r="C360" s="283"/>
      <c r="D360" s="283"/>
      <c r="E360" s="283"/>
      <c r="F360" s="283"/>
      <c r="G360" s="283"/>
      <c r="H360" s="283"/>
      <c r="I360" s="283"/>
      <c r="J360" s="283"/>
      <c r="K360" s="283"/>
      <c r="L360" s="283"/>
      <c r="M360" s="283"/>
      <c r="N360" s="283"/>
      <c r="O360" s="283"/>
      <c r="P360" s="283"/>
      <c r="Q360" s="283"/>
      <c r="R360" s="283"/>
      <c r="S360" s="283"/>
      <c r="T360" s="283"/>
      <c r="U360" s="283"/>
      <c r="V360" s="283"/>
      <c r="W360" s="283"/>
      <c r="X360" s="283"/>
    </row>
    <row r="361" spans="1:24" ht="13.5" customHeight="1" x14ac:dyDescent="0.2">
      <c r="A361" s="283"/>
      <c r="B361" s="283"/>
      <c r="C361" s="283"/>
      <c r="D361" s="283"/>
      <c r="E361" s="283"/>
      <c r="F361" s="283"/>
      <c r="G361" s="283"/>
      <c r="H361" s="283"/>
      <c r="I361" s="283"/>
      <c r="J361" s="283"/>
      <c r="K361" s="283"/>
      <c r="L361" s="283"/>
      <c r="M361" s="283"/>
      <c r="N361" s="283"/>
      <c r="O361" s="283"/>
      <c r="P361" s="283"/>
      <c r="Q361" s="283"/>
      <c r="R361" s="283"/>
      <c r="S361" s="283"/>
      <c r="T361" s="283"/>
      <c r="U361" s="283"/>
      <c r="V361" s="283"/>
      <c r="W361" s="283"/>
      <c r="X361" s="283"/>
    </row>
    <row r="362" spans="1:24" ht="13.5" customHeight="1" x14ac:dyDescent="0.2">
      <c r="A362" s="283"/>
      <c r="B362" s="283"/>
      <c r="C362" s="283"/>
      <c r="D362" s="283"/>
      <c r="E362" s="283"/>
      <c r="F362" s="283"/>
      <c r="G362" s="283"/>
      <c r="H362" s="283"/>
      <c r="I362" s="283"/>
      <c r="J362" s="283"/>
      <c r="K362" s="283"/>
      <c r="L362" s="283"/>
      <c r="M362" s="283"/>
      <c r="N362" s="283"/>
      <c r="O362" s="283"/>
      <c r="P362" s="283"/>
      <c r="Q362" s="283"/>
      <c r="R362" s="283"/>
      <c r="S362" s="283"/>
      <c r="T362" s="283"/>
      <c r="U362" s="283"/>
      <c r="V362" s="283"/>
      <c r="W362" s="283"/>
      <c r="X362" s="283"/>
    </row>
    <row r="363" spans="1:24" ht="13.5" customHeight="1" x14ac:dyDescent="0.2">
      <c r="A363" s="283"/>
      <c r="B363" s="283"/>
      <c r="C363" s="283"/>
      <c r="D363" s="283"/>
      <c r="E363" s="283"/>
      <c r="F363" s="283"/>
      <c r="G363" s="283"/>
      <c r="H363" s="283"/>
      <c r="I363" s="283"/>
      <c r="J363" s="283"/>
      <c r="K363" s="283"/>
      <c r="L363" s="283"/>
      <c r="M363" s="283"/>
      <c r="N363" s="283"/>
      <c r="O363" s="283"/>
      <c r="P363" s="283"/>
      <c r="Q363" s="283"/>
      <c r="R363" s="283"/>
      <c r="S363" s="283"/>
      <c r="T363" s="283"/>
      <c r="U363" s="283"/>
      <c r="V363" s="283"/>
      <c r="W363" s="283"/>
      <c r="X363" s="283"/>
    </row>
    <row r="364" spans="1:24" ht="13.5" customHeight="1" x14ac:dyDescent="0.2">
      <c r="A364" s="283"/>
      <c r="B364" s="283"/>
      <c r="C364" s="283"/>
      <c r="D364" s="283"/>
      <c r="E364" s="283"/>
      <c r="F364" s="283"/>
      <c r="G364" s="283"/>
      <c r="H364" s="283"/>
      <c r="I364" s="283"/>
      <c r="J364" s="283"/>
      <c r="K364" s="283"/>
      <c r="L364" s="283"/>
      <c r="M364" s="283"/>
      <c r="N364" s="283"/>
      <c r="O364" s="283"/>
      <c r="P364" s="283"/>
      <c r="Q364" s="283"/>
      <c r="R364" s="283"/>
      <c r="S364" s="283"/>
      <c r="T364" s="283"/>
      <c r="U364" s="283"/>
      <c r="V364" s="283"/>
      <c r="W364" s="283"/>
      <c r="X364" s="283"/>
    </row>
    <row r="365" spans="1:24" ht="13.5" customHeight="1" x14ac:dyDescent="0.2">
      <c r="A365" s="283"/>
      <c r="B365" s="283"/>
      <c r="C365" s="283"/>
      <c r="D365" s="283"/>
      <c r="E365" s="283"/>
      <c r="F365" s="283"/>
      <c r="G365" s="283"/>
      <c r="H365" s="283"/>
      <c r="I365" s="283"/>
      <c r="J365" s="283"/>
      <c r="K365" s="283"/>
      <c r="L365" s="283"/>
      <c r="M365" s="283"/>
      <c r="N365" s="283"/>
      <c r="O365" s="283"/>
      <c r="P365" s="283"/>
      <c r="Q365" s="283"/>
      <c r="R365" s="283"/>
      <c r="S365" s="283"/>
      <c r="T365" s="283"/>
      <c r="U365" s="283"/>
      <c r="V365" s="283"/>
      <c r="W365" s="283"/>
      <c r="X365" s="283"/>
    </row>
    <row r="366" spans="1:24" ht="13.5" customHeight="1" x14ac:dyDescent="0.2">
      <c r="A366" s="283"/>
      <c r="B366" s="283"/>
      <c r="C366" s="283"/>
      <c r="D366" s="283"/>
      <c r="E366" s="283"/>
      <c r="F366" s="283"/>
      <c r="G366" s="283"/>
      <c r="H366" s="283"/>
      <c r="I366" s="283"/>
      <c r="J366" s="283"/>
      <c r="K366" s="283"/>
      <c r="L366" s="283"/>
      <c r="M366" s="283"/>
      <c r="N366" s="283"/>
      <c r="O366" s="283"/>
      <c r="P366" s="283"/>
      <c r="Q366" s="283"/>
      <c r="R366" s="283"/>
      <c r="S366" s="283"/>
      <c r="T366" s="283"/>
      <c r="U366" s="283"/>
      <c r="V366" s="283"/>
      <c r="W366" s="283"/>
      <c r="X366" s="283"/>
    </row>
    <row r="367" spans="1:24" ht="13.5" customHeight="1" x14ac:dyDescent="0.2">
      <c r="A367" s="283"/>
      <c r="B367" s="283"/>
      <c r="C367" s="283"/>
      <c r="D367" s="283"/>
      <c r="E367" s="283"/>
      <c r="F367" s="283"/>
      <c r="G367" s="283"/>
      <c r="H367" s="283"/>
      <c r="I367" s="283"/>
      <c r="J367" s="283"/>
      <c r="K367" s="283"/>
      <c r="L367" s="283"/>
      <c r="M367" s="283"/>
      <c r="N367" s="283"/>
      <c r="O367" s="283"/>
      <c r="P367" s="283"/>
      <c r="Q367" s="283"/>
      <c r="R367" s="283"/>
      <c r="S367" s="283"/>
      <c r="T367" s="283"/>
      <c r="U367" s="283"/>
      <c r="V367" s="283"/>
      <c r="W367" s="283"/>
      <c r="X367" s="283"/>
    </row>
    <row r="368" spans="1:24" ht="13.5" customHeight="1" x14ac:dyDescent="0.2">
      <c r="A368" s="283"/>
      <c r="B368" s="283"/>
      <c r="C368" s="283"/>
      <c r="D368" s="283"/>
      <c r="E368" s="283"/>
      <c r="F368" s="283"/>
      <c r="G368" s="283"/>
      <c r="H368" s="283"/>
      <c r="I368" s="283"/>
      <c r="J368" s="283"/>
      <c r="K368" s="283"/>
      <c r="L368" s="283"/>
      <c r="M368" s="283"/>
      <c r="N368" s="283"/>
      <c r="O368" s="283"/>
      <c r="P368" s="283"/>
      <c r="Q368" s="283"/>
      <c r="R368" s="283"/>
      <c r="S368" s="283"/>
      <c r="T368" s="283"/>
      <c r="U368" s="283"/>
      <c r="V368" s="283"/>
      <c r="W368" s="283"/>
      <c r="X368" s="283"/>
    </row>
    <row r="369" spans="1:24" ht="13.5" customHeight="1" x14ac:dyDescent="0.2">
      <c r="A369" s="283"/>
      <c r="B369" s="283"/>
      <c r="C369" s="283"/>
      <c r="D369" s="283"/>
      <c r="E369" s="283"/>
      <c r="F369" s="283"/>
      <c r="G369" s="283"/>
      <c r="H369" s="283"/>
      <c r="I369" s="283"/>
      <c r="J369" s="283"/>
      <c r="K369" s="283"/>
      <c r="L369" s="283"/>
      <c r="M369" s="283"/>
      <c r="N369" s="283"/>
      <c r="O369" s="283"/>
      <c r="P369" s="283"/>
      <c r="Q369" s="283"/>
      <c r="R369" s="283"/>
      <c r="S369" s="283"/>
      <c r="T369" s="283"/>
      <c r="U369" s="283"/>
      <c r="V369" s="283"/>
      <c r="W369" s="283"/>
      <c r="X369" s="283"/>
    </row>
    <row r="370" spans="1:24" ht="13.5" customHeight="1" x14ac:dyDescent="0.2">
      <c r="A370" s="283"/>
      <c r="B370" s="283"/>
      <c r="C370" s="283"/>
      <c r="D370" s="283"/>
      <c r="E370" s="283"/>
      <c r="F370" s="283"/>
      <c r="G370" s="283"/>
      <c r="H370" s="283"/>
      <c r="I370" s="283"/>
      <c r="J370" s="283"/>
      <c r="K370" s="283"/>
      <c r="L370" s="283"/>
      <c r="M370" s="283"/>
      <c r="N370" s="283"/>
      <c r="O370" s="283"/>
      <c r="P370" s="283"/>
      <c r="Q370" s="283"/>
      <c r="R370" s="283"/>
      <c r="S370" s="283"/>
      <c r="T370" s="283"/>
      <c r="U370" s="283"/>
      <c r="V370" s="283"/>
      <c r="W370" s="283"/>
      <c r="X370" s="283"/>
    </row>
    <row r="371" spans="1:24" ht="13.5" customHeight="1" x14ac:dyDescent="0.2">
      <c r="A371" s="283"/>
      <c r="B371" s="283"/>
      <c r="C371" s="283"/>
      <c r="D371" s="283"/>
      <c r="E371" s="283"/>
      <c r="F371" s="283"/>
      <c r="G371" s="283"/>
      <c r="H371" s="283"/>
      <c r="I371" s="283"/>
      <c r="J371" s="283"/>
      <c r="K371" s="283"/>
      <c r="L371" s="283"/>
      <c r="M371" s="283"/>
      <c r="N371" s="283"/>
      <c r="O371" s="283"/>
      <c r="P371" s="283"/>
      <c r="Q371" s="283"/>
      <c r="R371" s="283"/>
      <c r="S371" s="283"/>
      <c r="T371" s="283"/>
      <c r="U371" s="283"/>
      <c r="V371" s="283"/>
      <c r="W371" s="283"/>
      <c r="X371" s="283"/>
    </row>
    <row r="372" spans="1:24" ht="13.5" customHeight="1" x14ac:dyDescent="0.2">
      <c r="A372" s="283"/>
      <c r="B372" s="283"/>
      <c r="C372" s="283"/>
      <c r="D372" s="283"/>
      <c r="E372" s="283"/>
      <c r="F372" s="283"/>
      <c r="G372" s="283"/>
      <c r="H372" s="283"/>
      <c r="I372" s="283"/>
      <c r="J372" s="283"/>
      <c r="K372" s="283"/>
      <c r="L372" s="283"/>
      <c r="M372" s="283"/>
      <c r="N372" s="283"/>
      <c r="O372" s="283"/>
      <c r="P372" s="283"/>
      <c r="Q372" s="283"/>
      <c r="R372" s="283"/>
      <c r="S372" s="283"/>
      <c r="T372" s="283"/>
      <c r="U372" s="283"/>
      <c r="V372" s="283"/>
      <c r="W372" s="283"/>
      <c r="X372" s="283"/>
    </row>
    <row r="373" spans="1:24" ht="13.5" customHeight="1" x14ac:dyDescent="0.2">
      <c r="A373" s="283"/>
      <c r="B373" s="283"/>
      <c r="C373" s="283"/>
      <c r="D373" s="283"/>
      <c r="E373" s="283"/>
      <c r="F373" s="283"/>
      <c r="G373" s="283"/>
      <c r="H373" s="283"/>
      <c r="I373" s="283"/>
      <c r="J373" s="283"/>
      <c r="K373" s="283"/>
      <c r="L373" s="283"/>
      <c r="M373" s="283"/>
      <c r="N373" s="283"/>
      <c r="O373" s="283"/>
      <c r="P373" s="283"/>
      <c r="Q373" s="283"/>
      <c r="R373" s="283"/>
      <c r="S373" s="283"/>
      <c r="T373" s="283"/>
      <c r="U373" s="283"/>
      <c r="V373" s="283"/>
      <c r="W373" s="283"/>
      <c r="X373" s="283"/>
    </row>
    <row r="374" spans="1:24" ht="13.5" customHeight="1" x14ac:dyDescent="0.2">
      <c r="A374" s="283"/>
      <c r="B374" s="283"/>
      <c r="C374" s="283"/>
      <c r="D374" s="283"/>
      <c r="E374" s="283"/>
      <c r="F374" s="283"/>
      <c r="G374" s="283"/>
      <c r="H374" s="283"/>
      <c r="I374" s="283"/>
      <c r="J374" s="283"/>
      <c r="K374" s="283"/>
      <c r="L374" s="283"/>
      <c r="M374" s="283"/>
      <c r="N374" s="283"/>
      <c r="O374" s="283"/>
      <c r="P374" s="283"/>
      <c r="Q374" s="283"/>
      <c r="R374" s="283"/>
      <c r="S374" s="283"/>
      <c r="T374" s="283"/>
      <c r="U374" s="283"/>
      <c r="V374" s="283"/>
      <c r="W374" s="283"/>
      <c r="X374" s="283"/>
    </row>
    <row r="375" spans="1:24" ht="13.5" customHeight="1" x14ac:dyDescent="0.2">
      <c r="A375" s="283"/>
      <c r="B375" s="283"/>
      <c r="C375" s="283"/>
      <c r="D375" s="283"/>
      <c r="E375" s="283"/>
      <c r="F375" s="283"/>
      <c r="G375" s="283"/>
      <c r="H375" s="283"/>
      <c r="I375" s="283"/>
      <c r="J375" s="283"/>
      <c r="K375" s="283"/>
      <c r="L375" s="283"/>
      <c r="M375" s="283"/>
      <c r="N375" s="283"/>
      <c r="O375" s="283"/>
      <c r="P375" s="283"/>
      <c r="Q375" s="283"/>
      <c r="R375" s="283"/>
      <c r="S375" s="283"/>
      <c r="T375" s="283"/>
      <c r="U375" s="283"/>
      <c r="V375" s="283"/>
      <c r="W375" s="283"/>
      <c r="X375" s="283"/>
    </row>
    <row r="376" spans="1:24" ht="13.5" customHeight="1" x14ac:dyDescent="0.2">
      <c r="A376" s="283"/>
      <c r="B376" s="283"/>
      <c r="C376" s="283"/>
      <c r="D376" s="283"/>
      <c r="E376" s="283"/>
      <c r="F376" s="283"/>
      <c r="G376" s="283"/>
      <c r="H376" s="283"/>
      <c r="I376" s="283"/>
      <c r="J376" s="283"/>
      <c r="K376" s="283"/>
      <c r="L376" s="283"/>
      <c r="M376" s="283"/>
      <c r="N376" s="283"/>
      <c r="O376" s="283"/>
      <c r="P376" s="283"/>
      <c r="Q376" s="283"/>
      <c r="R376" s="283"/>
      <c r="S376" s="283"/>
      <c r="T376" s="283"/>
      <c r="U376" s="283"/>
      <c r="V376" s="283"/>
      <c r="W376" s="283"/>
      <c r="X376" s="283"/>
    </row>
    <row r="377" spans="1:24" ht="13.5" customHeight="1" x14ac:dyDescent="0.2">
      <c r="A377" s="283"/>
      <c r="B377" s="283"/>
      <c r="C377" s="283"/>
      <c r="D377" s="283"/>
      <c r="E377" s="283"/>
      <c r="F377" s="283"/>
      <c r="G377" s="283"/>
      <c r="H377" s="283"/>
      <c r="I377" s="283"/>
      <c r="J377" s="283"/>
      <c r="K377" s="283"/>
      <c r="L377" s="283"/>
      <c r="M377" s="283"/>
      <c r="N377" s="283"/>
      <c r="O377" s="283"/>
      <c r="P377" s="283"/>
      <c r="Q377" s="283"/>
      <c r="R377" s="283"/>
      <c r="S377" s="283"/>
      <c r="T377" s="283"/>
      <c r="U377" s="283"/>
      <c r="V377" s="283"/>
      <c r="W377" s="283"/>
      <c r="X377" s="283"/>
    </row>
    <row r="378" spans="1:24" ht="13.5" customHeight="1" x14ac:dyDescent="0.2">
      <c r="A378" s="283"/>
      <c r="B378" s="283"/>
      <c r="C378" s="283"/>
      <c r="D378" s="283"/>
      <c r="E378" s="283"/>
      <c r="F378" s="283"/>
      <c r="G378" s="283"/>
      <c r="H378" s="283"/>
      <c r="I378" s="283"/>
      <c r="J378" s="283"/>
      <c r="K378" s="283"/>
      <c r="L378" s="283"/>
      <c r="M378" s="283"/>
      <c r="N378" s="283"/>
      <c r="O378" s="283"/>
      <c r="P378" s="283"/>
      <c r="Q378" s="283"/>
      <c r="R378" s="283"/>
      <c r="S378" s="283"/>
      <c r="T378" s="283"/>
      <c r="U378" s="283"/>
      <c r="V378" s="283"/>
      <c r="W378" s="283"/>
      <c r="X378" s="283"/>
    </row>
    <row r="379" spans="1:24" ht="13.5" customHeight="1" x14ac:dyDescent="0.2">
      <c r="A379" s="283"/>
      <c r="B379" s="283"/>
      <c r="C379" s="283"/>
      <c r="D379" s="283"/>
      <c r="E379" s="283"/>
      <c r="F379" s="283"/>
      <c r="G379" s="283"/>
      <c r="H379" s="283"/>
      <c r="I379" s="283"/>
      <c r="J379" s="283"/>
      <c r="K379" s="283"/>
      <c r="L379" s="283"/>
      <c r="M379" s="283"/>
      <c r="N379" s="283"/>
      <c r="O379" s="283"/>
      <c r="P379" s="283"/>
      <c r="Q379" s="283"/>
      <c r="R379" s="283"/>
      <c r="S379" s="283"/>
      <c r="T379" s="283"/>
      <c r="U379" s="283"/>
      <c r="V379" s="283"/>
      <c r="W379" s="283"/>
      <c r="X379" s="283"/>
    </row>
    <row r="380" spans="1:24" ht="13.5" customHeight="1" x14ac:dyDescent="0.2">
      <c r="A380" s="283"/>
      <c r="B380" s="283"/>
      <c r="C380" s="283"/>
      <c r="D380" s="283"/>
      <c r="E380" s="283"/>
      <c r="F380" s="283"/>
      <c r="G380" s="283"/>
      <c r="H380" s="283"/>
      <c r="I380" s="283"/>
      <c r="J380" s="283"/>
      <c r="K380" s="283"/>
      <c r="L380" s="283"/>
      <c r="M380" s="283"/>
      <c r="N380" s="283"/>
      <c r="O380" s="283"/>
      <c r="P380" s="283"/>
      <c r="Q380" s="283"/>
      <c r="R380" s="283"/>
      <c r="S380" s="283"/>
      <c r="T380" s="283"/>
      <c r="U380" s="283"/>
      <c r="V380" s="283"/>
      <c r="W380" s="283"/>
      <c r="X380" s="283"/>
    </row>
    <row r="381" spans="1:24" ht="13.5" customHeight="1" x14ac:dyDescent="0.2">
      <c r="A381" s="283"/>
      <c r="B381" s="283"/>
      <c r="C381" s="283"/>
      <c r="D381" s="283"/>
      <c r="E381" s="283"/>
      <c r="F381" s="283"/>
      <c r="G381" s="283"/>
      <c r="H381" s="283"/>
      <c r="I381" s="283"/>
      <c r="J381" s="283"/>
      <c r="K381" s="283"/>
      <c r="L381" s="283"/>
      <c r="M381" s="283"/>
      <c r="N381" s="283"/>
      <c r="O381" s="283"/>
      <c r="P381" s="283"/>
      <c r="Q381" s="283"/>
      <c r="R381" s="283"/>
      <c r="S381" s="283"/>
      <c r="T381" s="283"/>
      <c r="U381" s="283"/>
      <c r="V381" s="283"/>
      <c r="W381" s="283"/>
      <c r="X381" s="283"/>
    </row>
    <row r="382" spans="1:24" ht="13.5" customHeight="1" x14ac:dyDescent="0.2">
      <c r="A382" s="283"/>
      <c r="B382" s="283"/>
      <c r="C382" s="283"/>
      <c r="D382" s="283"/>
      <c r="E382" s="283"/>
      <c r="F382" s="283"/>
      <c r="G382" s="283"/>
      <c r="H382" s="283"/>
      <c r="I382" s="283"/>
      <c r="J382" s="283"/>
      <c r="K382" s="283"/>
      <c r="L382" s="283"/>
      <c r="M382" s="283"/>
      <c r="N382" s="283"/>
      <c r="O382" s="283"/>
      <c r="P382" s="283"/>
      <c r="Q382" s="283"/>
      <c r="R382" s="283"/>
      <c r="S382" s="283"/>
      <c r="T382" s="283"/>
      <c r="U382" s="283"/>
      <c r="V382" s="283"/>
      <c r="W382" s="283"/>
      <c r="X382" s="283"/>
    </row>
    <row r="383" spans="1:24" ht="13.5" customHeight="1" x14ac:dyDescent="0.2">
      <c r="A383" s="283"/>
      <c r="B383" s="283"/>
      <c r="C383" s="283"/>
      <c r="D383" s="283"/>
      <c r="E383" s="283"/>
      <c r="F383" s="283"/>
      <c r="G383" s="283"/>
      <c r="H383" s="283"/>
      <c r="I383" s="283"/>
      <c r="J383" s="283"/>
      <c r="K383" s="283"/>
      <c r="L383" s="283"/>
      <c r="M383" s="283"/>
      <c r="N383" s="283"/>
      <c r="O383" s="283"/>
      <c r="P383" s="283"/>
      <c r="Q383" s="283"/>
      <c r="R383" s="283"/>
      <c r="S383" s="283"/>
      <c r="T383" s="283"/>
      <c r="U383" s="283"/>
      <c r="V383" s="283"/>
      <c r="W383" s="283"/>
      <c r="X383" s="283"/>
    </row>
    <row r="384" spans="1:24" ht="13.5" customHeight="1" x14ac:dyDescent="0.2">
      <c r="A384" s="283"/>
      <c r="B384" s="283"/>
      <c r="C384" s="283"/>
      <c r="D384" s="283"/>
      <c r="E384" s="283"/>
      <c r="F384" s="283"/>
      <c r="G384" s="283"/>
      <c r="H384" s="283"/>
      <c r="I384" s="283"/>
      <c r="J384" s="283"/>
      <c r="K384" s="283"/>
      <c r="L384" s="283"/>
      <c r="M384" s="283"/>
      <c r="N384" s="283"/>
      <c r="O384" s="283"/>
      <c r="P384" s="283"/>
      <c r="Q384" s="283"/>
      <c r="R384" s="283"/>
      <c r="S384" s="283"/>
      <c r="T384" s="283"/>
      <c r="U384" s="283"/>
      <c r="V384" s="283"/>
      <c r="W384" s="283"/>
      <c r="X384" s="283"/>
    </row>
    <row r="385" spans="1:24" ht="13.5" customHeight="1" x14ac:dyDescent="0.2">
      <c r="A385" s="283"/>
      <c r="B385" s="283"/>
      <c r="C385" s="283"/>
      <c r="D385" s="283"/>
      <c r="E385" s="283"/>
      <c r="F385" s="283"/>
      <c r="G385" s="283"/>
      <c r="H385" s="283"/>
      <c r="I385" s="283"/>
      <c r="J385" s="283"/>
      <c r="K385" s="283"/>
      <c r="L385" s="283"/>
      <c r="M385" s="283"/>
      <c r="N385" s="283"/>
      <c r="O385" s="283"/>
      <c r="P385" s="283"/>
      <c r="Q385" s="283"/>
      <c r="R385" s="283"/>
      <c r="S385" s="283"/>
      <c r="T385" s="283"/>
      <c r="U385" s="283"/>
      <c r="V385" s="283"/>
      <c r="W385" s="283"/>
      <c r="X385" s="283"/>
    </row>
    <row r="386" spans="1:24" ht="13.5" customHeight="1" x14ac:dyDescent="0.2">
      <c r="A386" s="283"/>
      <c r="B386" s="283"/>
      <c r="C386" s="283"/>
      <c r="D386" s="283"/>
      <c r="E386" s="283"/>
      <c r="F386" s="283"/>
      <c r="G386" s="283"/>
      <c r="H386" s="283"/>
      <c r="I386" s="283"/>
      <c r="J386" s="283"/>
      <c r="K386" s="283"/>
      <c r="L386" s="283"/>
      <c r="M386" s="283"/>
      <c r="N386" s="283"/>
      <c r="O386" s="283"/>
      <c r="P386" s="283"/>
      <c r="Q386" s="283"/>
      <c r="R386" s="283"/>
      <c r="S386" s="283"/>
      <c r="T386" s="283"/>
      <c r="U386" s="283"/>
      <c r="V386" s="283"/>
      <c r="W386" s="283"/>
      <c r="X386" s="283"/>
    </row>
    <row r="387" spans="1:24" ht="13.5" customHeight="1" x14ac:dyDescent="0.2">
      <c r="A387" s="283"/>
      <c r="B387" s="283"/>
      <c r="C387" s="283"/>
      <c r="D387" s="283"/>
      <c r="E387" s="283"/>
      <c r="F387" s="283"/>
      <c r="G387" s="283"/>
      <c r="H387" s="283"/>
      <c r="I387" s="283"/>
      <c r="J387" s="283"/>
      <c r="K387" s="283"/>
      <c r="L387" s="283"/>
      <c r="M387" s="283"/>
      <c r="N387" s="283"/>
      <c r="O387" s="283"/>
      <c r="P387" s="283"/>
      <c r="Q387" s="283"/>
      <c r="R387" s="283"/>
      <c r="S387" s="283"/>
      <c r="T387" s="283"/>
      <c r="U387" s="283"/>
      <c r="V387" s="283"/>
      <c r="W387" s="283"/>
      <c r="X387" s="283"/>
    </row>
    <row r="388" spans="1:24" ht="13.5" customHeight="1" x14ac:dyDescent="0.2">
      <c r="A388" s="283"/>
      <c r="B388" s="283"/>
      <c r="C388" s="283"/>
      <c r="D388" s="283"/>
      <c r="E388" s="283"/>
      <c r="F388" s="283"/>
      <c r="G388" s="283"/>
      <c r="H388" s="283"/>
      <c r="I388" s="283"/>
      <c r="J388" s="283"/>
      <c r="K388" s="283"/>
      <c r="L388" s="283"/>
      <c r="M388" s="283"/>
      <c r="N388" s="283"/>
      <c r="O388" s="283"/>
      <c r="P388" s="283"/>
      <c r="Q388" s="283"/>
      <c r="R388" s="283"/>
      <c r="S388" s="283"/>
      <c r="T388" s="283"/>
      <c r="U388" s="283"/>
      <c r="V388" s="283"/>
      <c r="W388" s="283"/>
      <c r="X388" s="283"/>
    </row>
    <row r="389" spans="1:24" ht="13.5" customHeight="1" x14ac:dyDescent="0.2">
      <c r="A389" s="283"/>
      <c r="B389" s="283"/>
      <c r="C389" s="283"/>
      <c r="D389" s="283"/>
      <c r="E389" s="283"/>
      <c r="F389" s="283"/>
      <c r="G389" s="283"/>
      <c r="H389" s="283"/>
      <c r="I389" s="283"/>
      <c r="J389" s="283"/>
      <c r="K389" s="283"/>
      <c r="L389" s="283"/>
      <c r="M389" s="283"/>
      <c r="N389" s="283"/>
      <c r="O389" s="283"/>
      <c r="P389" s="283"/>
      <c r="Q389" s="283"/>
      <c r="R389" s="283"/>
      <c r="S389" s="283"/>
      <c r="T389" s="283"/>
      <c r="U389" s="283"/>
      <c r="V389" s="283"/>
      <c r="W389" s="283"/>
      <c r="X389" s="283"/>
    </row>
    <row r="390" spans="1:24" ht="13.5" customHeight="1" x14ac:dyDescent="0.2">
      <c r="A390" s="283"/>
      <c r="B390" s="283"/>
      <c r="C390" s="283"/>
      <c r="D390" s="283"/>
      <c r="E390" s="283"/>
      <c r="F390" s="283"/>
      <c r="G390" s="283"/>
      <c r="H390" s="283"/>
      <c r="I390" s="283"/>
      <c r="J390" s="283"/>
      <c r="K390" s="283"/>
      <c r="L390" s="283"/>
      <c r="M390" s="283"/>
      <c r="N390" s="283"/>
      <c r="O390" s="283"/>
      <c r="P390" s="283"/>
      <c r="Q390" s="283"/>
      <c r="R390" s="283"/>
      <c r="S390" s="283"/>
      <c r="T390" s="283"/>
      <c r="U390" s="283"/>
      <c r="V390" s="283"/>
      <c r="W390" s="283"/>
      <c r="X390" s="283"/>
    </row>
    <row r="391" spans="1:24" ht="13.5" customHeight="1" x14ac:dyDescent="0.2">
      <c r="A391" s="283"/>
      <c r="B391" s="283"/>
      <c r="C391" s="283"/>
      <c r="D391" s="283"/>
      <c r="E391" s="283"/>
      <c r="F391" s="283"/>
      <c r="G391" s="283"/>
      <c r="H391" s="283"/>
      <c r="I391" s="283"/>
      <c r="J391" s="283"/>
      <c r="K391" s="283"/>
      <c r="L391" s="283"/>
      <c r="M391" s="283"/>
      <c r="N391" s="283"/>
      <c r="O391" s="283"/>
      <c r="P391" s="283"/>
      <c r="Q391" s="283"/>
      <c r="R391" s="283"/>
      <c r="S391" s="283"/>
      <c r="T391" s="283"/>
      <c r="U391" s="283"/>
      <c r="V391" s="283"/>
      <c r="W391" s="283"/>
      <c r="X391" s="283"/>
    </row>
    <row r="392" spans="1:24" ht="13.5" customHeight="1" x14ac:dyDescent="0.2">
      <c r="A392" s="283"/>
      <c r="B392" s="283"/>
      <c r="C392" s="283"/>
      <c r="D392" s="283"/>
      <c r="E392" s="283"/>
      <c r="F392" s="283"/>
      <c r="G392" s="283"/>
      <c r="H392" s="283"/>
      <c r="I392" s="283"/>
      <c r="J392" s="283"/>
      <c r="K392" s="283"/>
      <c r="L392" s="283"/>
      <c r="M392" s="283"/>
      <c r="N392" s="283"/>
      <c r="O392" s="283"/>
      <c r="P392" s="283"/>
      <c r="Q392" s="283"/>
      <c r="R392" s="283"/>
      <c r="S392" s="283"/>
      <c r="T392" s="283"/>
      <c r="U392" s="283"/>
      <c r="V392" s="283"/>
      <c r="W392" s="283"/>
      <c r="X392" s="283"/>
    </row>
    <row r="393" spans="1:24" ht="13.5" customHeight="1" x14ac:dyDescent="0.2">
      <c r="A393" s="283"/>
      <c r="B393" s="283"/>
      <c r="C393" s="283"/>
      <c r="D393" s="283"/>
      <c r="E393" s="283"/>
      <c r="F393" s="283"/>
      <c r="G393" s="283"/>
      <c r="H393" s="283"/>
      <c r="I393" s="283"/>
      <c r="J393" s="283"/>
      <c r="K393" s="283"/>
      <c r="L393" s="283"/>
      <c r="M393" s="283"/>
      <c r="N393" s="283"/>
      <c r="O393" s="283"/>
      <c r="P393" s="283"/>
      <c r="Q393" s="283"/>
      <c r="R393" s="283"/>
      <c r="S393" s="283"/>
      <c r="T393" s="283"/>
      <c r="U393" s="283"/>
      <c r="V393" s="283"/>
      <c r="W393" s="283"/>
      <c r="X393" s="283"/>
    </row>
    <row r="394" spans="1:24" ht="13.5" customHeight="1" x14ac:dyDescent="0.2">
      <c r="A394" s="283"/>
      <c r="B394" s="283"/>
      <c r="C394" s="283"/>
      <c r="D394" s="283"/>
      <c r="E394" s="283"/>
      <c r="F394" s="283"/>
      <c r="G394" s="283"/>
      <c r="H394" s="283"/>
      <c r="I394" s="283"/>
      <c r="J394" s="283"/>
      <c r="K394" s="283"/>
      <c r="L394" s="283"/>
      <c r="M394" s="283"/>
      <c r="N394" s="283"/>
      <c r="O394" s="283"/>
      <c r="P394" s="283"/>
      <c r="Q394" s="283"/>
      <c r="R394" s="283"/>
      <c r="S394" s="283"/>
      <c r="T394" s="283"/>
      <c r="U394" s="283"/>
      <c r="V394" s="283"/>
      <c r="W394" s="283"/>
      <c r="X394" s="283"/>
    </row>
    <row r="395" spans="1:24" ht="13.5" customHeight="1" x14ac:dyDescent="0.2">
      <c r="A395" s="283"/>
      <c r="B395" s="283"/>
      <c r="C395" s="283"/>
      <c r="D395" s="283"/>
      <c r="E395" s="283"/>
      <c r="F395" s="283"/>
      <c r="G395" s="283"/>
      <c r="H395" s="283"/>
      <c r="I395" s="283"/>
      <c r="J395" s="283"/>
      <c r="K395" s="283"/>
      <c r="L395" s="283"/>
      <c r="M395" s="283"/>
      <c r="N395" s="283"/>
      <c r="O395" s="283"/>
      <c r="P395" s="283"/>
      <c r="Q395" s="283"/>
      <c r="R395" s="283"/>
      <c r="S395" s="283"/>
      <c r="T395" s="283"/>
      <c r="U395" s="283"/>
      <c r="V395" s="283"/>
      <c r="W395" s="283"/>
      <c r="X395" s="283"/>
    </row>
    <row r="396" spans="1:24" ht="13.5" customHeight="1" x14ac:dyDescent="0.2">
      <c r="A396" s="283"/>
      <c r="B396" s="283"/>
      <c r="C396" s="283"/>
      <c r="D396" s="283"/>
      <c r="E396" s="283"/>
      <c r="F396" s="283"/>
      <c r="G396" s="283"/>
      <c r="H396" s="283"/>
      <c r="I396" s="283"/>
      <c r="J396" s="283"/>
      <c r="K396" s="283"/>
      <c r="L396" s="283"/>
      <c r="M396" s="283"/>
      <c r="N396" s="283"/>
      <c r="O396" s="283"/>
      <c r="P396" s="283"/>
      <c r="Q396" s="283"/>
      <c r="R396" s="283"/>
      <c r="S396" s="283"/>
      <c r="T396" s="283"/>
      <c r="U396" s="283"/>
      <c r="V396" s="283"/>
      <c r="W396" s="283"/>
      <c r="X396" s="283"/>
    </row>
    <row r="397" spans="1:24" ht="13.5" customHeight="1" x14ac:dyDescent="0.2">
      <c r="A397" s="283"/>
      <c r="B397" s="283"/>
      <c r="C397" s="283"/>
      <c r="D397" s="283"/>
      <c r="E397" s="283"/>
      <c r="F397" s="283"/>
      <c r="G397" s="283"/>
      <c r="H397" s="283"/>
      <c r="I397" s="283"/>
      <c r="J397" s="283"/>
      <c r="K397" s="283"/>
      <c r="L397" s="283"/>
      <c r="M397" s="283"/>
      <c r="N397" s="283"/>
      <c r="O397" s="283"/>
      <c r="P397" s="283"/>
      <c r="Q397" s="283"/>
      <c r="R397" s="283"/>
      <c r="S397" s="283"/>
      <c r="T397" s="283"/>
      <c r="U397" s="283"/>
      <c r="V397" s="283"/>
      <c r="W397" s="283"/>
      <c r="X397" s="283"/>
    </row>
    <row r="398" spans="1:24" ht="13.5" customHeight="1" x14ac:dyDescent="0.2">
      <c r="A398" s="283"/>
      <c r="B398" s="283"/>
      <c r="C398" s="283"/>
      <c r="D398" s="283"/>
      <c r="E398" s="283"/>
      <c r="F398" s="283"/>
      <c r="G398" s="283"/>
      <c r="H398" s="283"/>
      <c r="I398" s="283"/>
      <c r="J398" s="283"/>
      <c r="K398" s="283"/>
      <c r="L398" s="283"/>
      <c r="M398" s="283"/>
      <c r="N398" s="283"/>
      <c r="O398" s="283"/>
      <c r="P398" s="283"/>
      <c r="Q398" s="283"/>
      <c r="R398" s="283"/>
      <c r="S398" s="283"/>
      <c r="T398" s="283"/>
      <c r="U398" s="283"/>
      <c r="V398" s="283"/>
      <c r="W398" s="283"/>
      <c r="X398" s="283"/>
    </row>
    <row r="399" spans="1:24" ht="13.5" customHeight="1" x14ac:dyDescent="0.2">
      <c r="A399" s="283"/>
      <c r="B399" s="283"/>
      <c r="C399" s="283"/>
      <c r="D399" s="283"/>
      <c r="E399" s="283"/>
      <c r="F399" s="283"/>
      <c r="G399" s="283"/>
      <c r="H399" s="283"/>
      <c r="I399" s="283"/>
      <c r="J399" s="283"/>
      <c r="K399" s="283"/>
      <c r="L399" s="283"/>
      <c r="M399" s="283"/>
      <c r="N399" s="283"/>
      <c r="O399" s="283"/>
      <c r="P399" s="283"/>
      <c r="Q399" s="283"/>
      <c r="R399" s="283"/>
      <c r="S399" s="283"/>
      <c r="T399" s="283"/>
      <c r="U399" s="283"/>
      <c r="V399" s="283"/>
      <c r="W399" s="283"/>
      <c r="X399" s="283"/>
    </row>
    <row r="400" spans="1:24" ht="13.5" customHeight="1" x14ac:dyDescent="0.2">
      <c r="A400" s="283"/>
      <c r="B400" s="283"/>
      <c r="C400" s="283"/>
      <c r="D400" s="283"/>
      <c r="E400" s="283"/>
      <c r="F400" s="283"/>
      <c r="G400" s="283"/>
      <c r="H400" s="283"/>
      <c r="I400" s="283"/>
      <c r="J400" s="283"/>
      <c r="K400" s="283"/>
      <c r="L400" s="283"/>
      <c r="M400" s="283"/>
      <c r="N400" s="283"/>
      <c r="O400" s="283"/>
      <c r="P400" s="283"/>
      <c r="Q400" s="283"/>
      <c r="R400" s="283"/>
      <c r="S400" s="283"/>
      <c r="T400" s="283"/>
      <c r="U400" s="283"/>
      <c r="V400" s="283"/>
      <c r="W400" s="283"/>
      <c r="X400" s="283"/>
    </row>
    <row r="401" spans="1:24" ht="13.5" customHeight="1" x14ac:dyDescent="0.2">
      <c r="A401" s="283"/>
      <c r="B401" s="283"/>
      <c r="C401" s="283"/>
      <c r="D401" s="283"/>
      <c r="E401" s="283"/>
      <c r="F401" s="283"/>
      <c r="G401" s="283"/>
      <c r="H401" s="283"/>
      <c r="I401" s="283"/>
      <c r="J401" s="283"/>
      <c r="K401" s="283"/>
      <c r="L401" s="283"/>
      <c r="M401" s="283"/>
      <c r="N401" s="283"/>
      <c r="O401" s="283"/>
      <c r="P401" s="283"/>
      <c r="Q401" s="283"/>
      <c r="R401" s="283"/>
      <c r="S401" s="283"/>
      <c r="T401" s="283"/>
      <c r="U401" s="283"/>
      <c r="V401" s="283"/>
      <c r="W401" s="283"/>
      <c r="X401" s="283"/>
    </row>
    <row r="402" spans="1:24" ht="13.5" customHeight="1" x14ac:dyDescent="0.2">
      <c r="A402" s="283"/>
      <c r="B402" s="283"/>
      <c r="C402" s="283"/>
      <c r="D402" s="283"/>
      <c r="E402" s="283"/>
      <c r="F402" s="283"/>
      <c r="G402" s="283"/>
      <c r="H402" s="283"/>
      <c r="I402" s="283"/>
      <c r="J402" s="283"/>
      <c r="K402" s="283"/>
      <c r="L402" s="283"/>
      <c r="M402" s="283"/>
      <c r="N402" s="283"/>
      <c r="O402" s="283"/>
      <c r="P402" s="283"/>
      <c r="Q402" s="283"/>
      <c r="R402" s="283"/>
      <c r="S402" s="283"/>
      <c r="T402" s="283"/>
      <c r="U402" s="283"/>
      <c r="V402" s="283"/>
      <c r="W402" s="283"/>
      <c r="X402" s="283"/>
    </row>
    <row r="403" spans="1:24" ht="13.5" customHeight="1" x14ac:dyDescent="0.2">
      <c r="A403" s="283"/>
      <c r="B403" s="283"/>
      <c r="C403" s="283"/>
      <c r="D403" s="283"/>
      <c r="E403" s="283"/>
      <c r="F403" s="283"/>
      <c r="G403" s="283"/>
      <c r="H403" s="283"/>
      <c r="I403" s="283"/>
      <c r="J403" s="283"/>
      <c r="K403" s="283"/>
      <c r="L403" s="283"/>
      <c r="M403" s="283"/>
      <c r="N403" s="283"/>
      <c r="O403" s="283"/>
      <c r="P403" s="283"/>
      <c r="Q403" s="283"/>
      <c r="R403" s="283"/>
      <c r="S403" s="283"/>
      <c r="T403" s="283"/>
      <c r="U403" s="283"/>
      <c r="V403" s="283"/>
      <c r="W403" s="283"/>
      <c r="X403" s="283"/>
    </row>
    <row r="404" spans="1:24" ht="13.5" customHeight="1" x14ac:dyDescent="0.2">
      <c r="A404" s="283"/>
      <c r="B404" s="283"/>
      <c r="C404" s="283"/>
      <c r="D404" s="283"/>
      <c r="E404" s="283"/>
      <c r="F404" s="283"/>
      <c r="G404" s="283"/>
      <c r="H404" s="283"/>
      <c r="I404" s="283"/>
      <c r="J404" s="283"/>
      <c r="K404" s="283"/>
      <c r="L404" s="283"/>
      <c r="M404" s="283"/>
      <c r="N404" s="283"/>
      <c r="O404" s="283"/>
      <c r="P404" s="283"/>
      <c r="Q404" s="283"/>
      <c r="R404" s="283"/>
      <c r="S404" s="283"/>
      <c r="T404" s="283"/>
      <c r="U404" s="283"/>
      <c r="V404" s="283"/>
      <c r="W404" s="283"/>
      <c r="X404" s="283"/>
    </row>
    <row r="405" spans="1:24" ht="13.5" customHeight="1" x14ac:dyDescent="0.2">
      <c r="A405" s="283"/>
      <c r="B405" s="283"/>
      <c r="C405" s="283"/>
      <c r="D405" s="283"/>
      <c r="E405" s="283"/>
      <c r="F405" s="283"/>
      <c r="G405" s="283"/>
      <c r="H405" s="283"/>
      <c r="I405" s="283"/>
      <c r="J405" s="283"/>
      <c r="K405" s="283"/>
      <c r="L405" s="283"/>
      <c r="M405" s="283"/>
      <c r="N405" s="283"/>
      <c r="O405" s="283"/>
      <c r="P405" s="283"/>
      <c r="Q405" s="283"/>
      <c r="R405" s="283"/>
      <c r="S405" s="283"/>
      <c r="T405" s="283"/>
      <c r="U405" s="283"/>
      <c r="V405" s="283"/>
      <c r="W405" s="283"/>
      <c r="X405" s="283"/>
    </row>
    <row r="406" spans="1:24" ht="13.5" customHeight="1" x14ac:dyDescent="0.2">
      <c r="A406" s="283"/>
      <c r="B406" s="283"/>
      <c r="C406" s="283"/>
      <c r="D406" s="283"/>
      <c r="E406" s="283"/>
      <c r="F406" s="283"/>
      <c r="G406" s="283"/>
      <c r="H406" s="283"/>
      <c r="I406" s="283"/>
      <c r="J406" s="283"/>
      <c r="K406" s="283"/>
      <c r="L406" s="283"/>
      <c r="M406" s="283"/>
      <c r="N406" s="283"/>
      <c r="O406" s="283"/>
      <c r="P406" s="283"/>
      <c r="Q406" s="283"/>
      <c r="R406" s="283"/>
      <c r="S406" s="283"/>
      <c r="T406" s="283"/>
      <c r="U406" s="283"/>
      <c r="V406" s="283"/>
      <c r="W406" s="283"/>
      <c r="X406" s="283"/>
    </row>
    <row r="407" spans="1:24" ht="13.5" customHeight="1" x14ac:dyDescent="0.2">
      <c r="A407" s="283"/>
      <c r="B407" s="283"/>
      <c r="C407" s="283"/>
      <c r="D407" s="283"/>
      <c r="E407" s="283"/>
      <c r="F407" s="283"/>
      <c r="G407" s="283"/>
      <c r="H407" s="283"/>
      <c r="I407" s="283"/>
      <c r="J407" s="283"/>
      <c r="K407" s="283"/>
      <c r="L407" s="283"/>
      <c r="M407" s="283"/>
      <c r="N407" s="283"/>
      <c r="O407" s="283"/>
      <c r="P407" s="283"/>
      <c r="Q407" s="283"/>
      <c r="R407" s="283"/>
      <c r="S407" s="283"/>
      <c r="T407" s="283"/>
      <c r="U407" s="283"/>
      <c r="V407" s="283"/>
      <c r="W407" s="283"/>
      <c r="X407" s="283"/>
    </row>
    <row r="408" spans="1:24" ht="13.5" customHeight="1" x14ac:dyDescent="0.2">
      <c r="A408" s="283"/>
      <c r="B408" s="283"/>
      <c r="C408" s="283"/>
      <c r="D408" s="283"/>
      <c r="E408" s="283"/>
      <c r="F408" s="283"/>
      <c r="G408" s="283"/>
      <c r="H408" s="283"/>
      <c r="I408" s="283"/>
      <c r="J408" s="283"/>
      <c r="K408" s="283"/>
      <c r="L408" s="283"/>
      <c r="M408" s="283"/>
      <c r="N408" s="283"/>
      <c r="O408" s="283"/>
      <c r="P408" s="283"/>
      <c r="Q408" s="283"/>
      <c r="R408" s="283"/>
      <c r="S408" s="283"/>
      <c r="T408" s="283"/>
      <c r="U408" s="283"/>
      <c r="V408" s="283"/>
      <c r="W408" s="283"/>
      <c r="X408" s="283"/>
    </row>
    <row r="409" spans="1:24" ht="13.5" customHeight="1" x14ac:dyDescent="0.2">
      <c r="A409" s="283"/>
      <c r="B409" s="283"/>
      <c r="C409" s="283"/>
      <c r="D409" s="283"/>
      <c r="E409" s="283"/>
      <c r="F409" s="283"/>
      <c r="G409" s="283"/>
      <c r="H409" s="283"/>
      <c r="I409" s="283"/>
      <c r="J409" s="283"/>
      <c r="K409" s="283"/>
      <c r="L409" s="283"/>
      <c r="M409" s="283"/>
      <c r="N409" s="283"/>
      <c r="O409" s="283"/>
      <c r="P409" s="283"/>
      <c r="Q409" s="283"/>
      <c r="R409" s="283"/>
      <c r="S409" s="283"/>
      <c r="T409" s="283"/>
      <c r="U409" s="283"/>
      <c r="V409" s="283"/>
      <c r="W409" s="283"/>
      <c r="X409" s="283"/>
    </row>
    <row r="410" spans="1:24" ht="13.5" customHeight="1" x14ac:dyDescent="0.2">
      <c r="A410" s="283"/>
      <c r="B410" s="283"/>
      <c r="C410" s="283"/>
      <c r="D410" s="283"/>
      <c r="E410" s="283"/>
      <c r="F410" s="283"/>
      <c r="G410" s="283"/>
      <c r="H410" s="283"/>
      <c r="I410" s="283"/>
      <c r="J410" s="283"/>
      <c r="K410" s="283"/>
      <c r="L410" s="283"/>
      <c r="M410" s="283"/>
      <c r="N410" s="283"/>
      <c r="O410" s="283"/>
      <c r="P410" s="283"/>
      <c r="Q410" s="283"/>
      <c r="R410" s="283"/>
      <c r="S410" s="283"/>
      <c r="T410" s="283"/>
      <c r="U410" s="283"/>
      <c r="V410" s="283"/>
      <c r="W410" s="283"/>
      <c r="X410" s="283"/>
    </row>
    <row r="411" spans="1:24" ht="13.5" customHeight="1" x14ac:dyDescent="0.2">
      <c r="A411" s="283"/>
      <c r="B411" s="283"/>
      <c r="C411" s="283"/>
      <c r="D411" s="283"/>
      <c r="E411" s="283"/>
      <c r="F411" s="283"/>
      <c r="G411" s="283"/>
      <c r="H411" s="283"/>
      <c r="I411" s="283"/>
      <c r="J411" s="283"/>
      <c r="K411" s="283"/>
      <c r="L411" s="283"/>
      <c r="M411" s="283"/>
      <c r="N411" s="283"/>
      <c r="O411" s="283"/>
      <c r="P411" s="283"/>
      <c r="Q411" s="283"/>
      <c r="R411" s="283"/>
      <c r="S411" s="283"/>
      <c r="T411" s="283"/>
      <c r="U411" s="283"/>
      <c r="V411" s="283"/>
      <c r="W411" s="283"/>
      <c r="X411" s="283"/>
    </row>
    <row r="412" spans="1:24" ht="13.5" customHeight="1" x14ac:dyDescent="0.2">
      <c r="A412" s="283"/>
      <c r="B412" s="283"/>
      <c r="C412" s="283"/>
      <c r="D412" s="283"/>
      <c r="E412" s="283"/>
      <c r="F412" s="283"/>
      <c r="G412" s="283"/>
      <c r="H412" s="283"/>
      <c r="I412" s="283"/>
      <c r="J412" s="283"/>
      <c r="K412" s="283"/>
      <c r="L412" s="283"/>
      <c r="M412" s="283"/>
      <c r="N412" s="283"/>
      <c r="O412" s="283"/>
      <c r="P412" s="283"/>
      <c r="Q412" s="283"/>
      <c r="R412" s="283"/>
      <c r="S412" s="283"/>
      <c r="T412" s="283"/>
      <c r="U412" s="283"/>
      <c r="V412" s="283"/>
      <c r="W412" s="283"/>
      <c r="X412" s="283"/>
    </row>
    <row r="413" spans="1:24" ht="13.5" customHeight="1" x14ac:dyDescent="0.2">
      <c r="A413" s="283"/>
      <c r="B413" s="283"/>
      <c r="C413" s="283"/>
      <c r="D413" s="283"/>
      <c r="E413" s="283"/>
      <c r="F413" s="283"/>
      <c r="G413" s="283"/>
      <c r="H413" s="283"/>
      <c r="I413" s="283"/>
      <c r="J413" s="283"/>
      <c r="K413" s="283"/>
      <c r="L413" s="283"/>
      <c r="M413" s="283"/>
      <c r="N413" s="283"/>
      <c r="O413" s="283"/>
      <c r="P413" s="283"/>
      <c r="Q413" s="283"/>
      <c r="R413" s="283"/>
      <c r="S413" s="283"/>
      <c r="T413" s="283"/>
      <c r="U413" s="283"/>
      <c r="V413" s="283"/>
      <c r="W413" s="283"/>
      <c r="X413" s="283"/>
    </row>
    <row r="414" spans="1:24" ht="13.5" customHeight="1" x14ac:dyDescent="0.2">
      <c r="A414" s="283"/>
      <c r="B414" s="283"/>
      <c r="C414" s="283"/>
      <c r="D414" s="283"/>
      <c r="E414" s="283"/>
      <c r="F414" s="283"/>
      <c r="G414" s="283"/>
      <c r="H414" s="283"/>
      <c r="I414" s="283"/>
      <c r="J414" s="283"/>
      <c r="K414" s="283"/>
      <c r="L414" s="283"/>
      <c r="M414" s="283"/>
      <c r="N414" s="283"/>
      <c r="O414" s="283"/>
      <c r="P414" s="283"/>
      <c r="Q414" s="283"/>
      <c r="R414" s="283"/>
      <c r="S414" s="283"/>
      <c r="T414" s="283"/>
      <c r="U414" s="283"/>
      <c r="V414" s="283"/>
      <c r="W414" s="283"/>
      <c r="X414" s="283"/>
    </row>
    <row r="415" spans="1:24" ht="13.5" customHeight="1" x14ac:dyDescent="0.2">
      <c r="A415" s="283"/>
      <c r="B415" s="283"/>
      <c r="C415" s="283"/>
      <c r="D415" s="283"/>
      <c r="E415" s="283"/>
      <c r="F415" s="283"/>
      <c r="G415" s="283"/>
      <c r="H415" s="283"/>
      <c r="I415" s="283"/>
      <c r="J415" s="283"/>
      <c r="K415" s="283"/>
      <c r="L415" s="283"/>
      <c r="M415" s="283"/>
      <c r="N415" s="283"/>
      <c r="O415" s="283"/>
      <c r="P415" s="283"/>
      <c r="Q415" s="283"/>
      <c r="R415" s="283"/>
      <c r="S415" s="283"/>
      <c r="T415" s="283"/>
      <c r="U415" s="283"/>
      <c r="V415" s="283"/>
      <c r="W415" s="283"/>
      <c r="X415" s="283"/>
    </row>
    <row r="416" spans="1:24" ht="13.5" customHeight="1" x14ac:dyDescent="0.2">
      <c r="A416" s="283"/>
      <c r="B416" s="283"/>
      <c r="C416" s="283"/>
      <c r="D416" s="283"/>
      <c r="E416" s="283"/>
      <c r="F416" s="283"/>
      <c r="G416" s="283"/>
      <c r="H416" s="283"/>
      <c r="I416" s="283"/>
      <c r="J416" s="283"/>
      <c r="K416" s="283"/>
      <c r="L416" s="283"/>
      <c r="M416" s="283"/>
      <c r="N416" s="283"/>
      <c r="O416" s="283"/>
      <c r="P416" s="283"/>
      <c r="Q416" s="283"/>
      <c r="R416" s="283"/>
      <c r="S416" s="283"/>
      <c r="T416" s="283"/>
      <c r="U416" s="283"/>
      <c r="V416" s="283"/>
      <c r="W416" s="283"/>
      <c r="X416" s="283"/>
    </row>
    <row r="417" spans="1:24" ht="13.5" customHeight="1" x14ac:dyDescent="0.2">
      <c r="A417" s="283"/>
      <c r="B417" s="283"/>
      <c r="C417" s="283"/>
      <c r="D417" s="283"/>
      <c r="E417" s="283"/>
      <c r="F417" s="283"/>
      <c r="G417" s="283"/>
      <c r="H417" s="283"/>
      <c r="I417" s="283"/>
      <c r="J417" s="283"/>
      <c r="K417" s="283"/>
      <c r="L417" s="283"/>
      <c r="M417" s="283"/>
      <c r="N417" s="283"/>
      <c r="O417" s="283"/>
      <c r="P417" s="283"/>
      <c r="Q417" s="283"/>
      <c r="R417" s="283"/>
      <c r="S417" s="283"/>
      <c r="T417" s="283"/>
      <c r="U417" s="283"/>
      <c r="V417" s="283"/>
      <c r="W417" s="283"/>
      <c r="X417" s="283"/>
    </row>
    <row r="418" spans="1:24" ht="13.5" customHeight="1" x14ac:dyDescent="0.2">
      <c r="A418" s="283"/>
      <c r="B418" s="283"/>
      <c r="C418" s="283"/>
      <c r="D418" s="283"/>
      <c r="E418" s="283"/>
      <c r="F418" s="283"/>
      <c r="G418" s="283"/>
      <c r="H418" s="283"/>
      <c r="I418" s="283"/>
      <c r="J418" s="283"/>
      <c r="K418" s="283"/>
      <c r="L418" s="283"/>
      <c r="M418" s="283"/>
      <c r="N418" s="283"/>
      <c r="O418" s="283"/>
      <c r="P418" s="283"/>
      <c r="Q418" s="283"/>
      <c r="R418" s="283"/>
      <c r="S418" s="283"/>
      <c r="T418" s="283"/>
      <c r="U418" s="283"/>
      <c r="V418" s="283"/>
      <c r="W418" s="283"/>
      <c r="X418" s="283"/>
    </row>
    <row r="419" spans="1:24" ht="13.5" customHeight="1" x14ac:dyDescent="0.2">
      <c r="A419" s="283"/>
      <c r="B419" s="283"/>
      <c r="C419" s="283"/>
      <c r="D419" s="283"/>
      <c r="E419" s="283"/>
      <c r="F419" s="283"/>
      <c r="G419" s="283"/>
      <c r="H419" s="283"/>
      <c r="I419" s="283"/>
      <c r="J419" s="283"/>
      <c r="K419" s="283"/>
      <c r="L419" s="283"/>
      <c r="M419" s="283"/>
      <c r="N419" s="283"/>
      <c r="O419" s="283"/>
      <c r="P419" s="283"/>
      <c r="Q419" s="283"/>
      <c r="R419" s="283"/>
      <c r="S419" s="283"/>
      <c r="T419" s="283"/>
      <c r="U419" s="283"/>
      <c r="V419" s="283"/>
      <c r="W419" s="283"/>
      <c r="X419" s="283"/>
    </row>
    <row r="420" spans="1:24" ht="13.5" customHeight="1" x14ac:dyDescent="0.2">
      <c r="A420" s="283"/>
      <c r="B420" s="283"/>
      <c r="C420" s="283"/>
      <c r="D420" s="283"/>
      <c r="E420" s="283"/>
      <c r="F420" s="283"/>
      <c r="G420" s="283"/>
      <c r="H420" s="283"/>
      <c r="I420" s="283"/>
      <c r="J420" s="283"/>
      <c r="K420" s="283"/>
      <c r="L420" s="283"/>
      <c r="M420" s="283"/>
      <c r="N420" s="283"/>
      <c r="O420" s="283"/>
      <c r="P420" s="283"/>
      <c r="Q420" s="283"/>
      <c r="R420" s="283"/>
      <c r="S420" s="283"/>
      <c r="T420" s="283"/>
      <c r="U420" s="283"/>
      <c r="V420" s="283"/>
      <c r="W420" s="283"/>
      <c r="X420" s="283"/>
    </row>
    <row r="421" spans="1:24" ht="13.5" customHeight="1" x14ac:dyDescent="0.2">
      <c r="A421" s="283"/>
      <c r="B421" s="283"/>
      <c r="C421" s="283"/>
      <c r="D421" s="283"/>
      <c r="E421" s="283"/>
      <c r="F421" s="283"/>
      <c r="G421" s="283"/>
      <c r="H421" s="283"/>
      <c r="I421" s="283"/>
      <c r="J421" s="283"/>
      <c r="K421" s="283"/>
      <c r="L421" s="283"/>
      <c r="M421" s="283"/>
      <c r="N421" s="283"/>
      <c r="O421" s="283"/>
      <c r="P421" s="283"/>
      <c r="Q421" s="283"/>
      <c r="R421" s="283"/>
      <c r="S421" s="283"/>
      <c r="T421" s="283"/>
      <c r="U421" s="283"/>
      <c r="V421" s="283"/>
      <c r="W421" s="283"/>
      <c r="X421" s="283"/>
    </row>
    <row r="422" spans="1:24" ht="13.5" customHeight="1" x14ac:dyDescent="0.2">
      <c r="A422" s="283"/>
      <c r="B422" s="283"/>
      <c r="C422" s="283"/>
      <c r="D422" s="283"/>
      <c r="E422" s="283"/>
      <c r="F422" s="283"/>
      <c r="G422" s="283"/>
      <c r="H422" s="283"/>
      <c r="I422" s="283"/>
      <c r="J422" s="283"/>
      <c r="K422" s="283"/>
      <c r="L422" s="283"/>
      <c r="M422" s="283"/>
      <c r="N422" s="283"/>
      <c r="O422" s="283"/>
      <c r="P422" s="283"/>
      <c r="Q422" s="283"/>
      <c r="R422" s="283"/>
      <c r="S422" s="283"/>
      <c r="T422" s="283"/>
      <c r="U422" s="283"/>
      <c r="V422" s="283"/>
      <c r="W422" s="283"/>
      <c r="X422" s="283"/>
    </row>
    <row r="423" spans="1:24" ht="13.5" customHeight="1" x14ac:dyDescent="0.2">
      <c r="A423" s="283"/>
      <c r="B423" s="283"/>
      <c r="C423" s="283"/>
      <c r="D423" s="283"/>
      <c r="E423" s="283"/>
      <c r="F423" s="283"/>
      <c r="G423" s="283"/>
      <c r="H423" s="283"/>
      <c r="I423" s="283"/>
      <c r="J423" s="283"/>
      <c r="K423" s="283"/>
      <c r="L423" s="283"/>
      <c r="M423" s="283"/>
      <c r="N423" s="283"/>
      <c r="O423" s="283"/>
      <c r="P423" s="283"/>
      <c r="Q423" s="283"/>
      <c r="R423" s="283"/>
      <c r="S423" s="283"/>
      <c r="T423" s="283"/>
      <c r="U423" s="283"/>
      <c r="V423" s="283"/>
      <c r="W423" s="283"/>
      <c r="X423" s="283"/>
    </row>
    <row r="424" spans="1:24" ht="13.5" customHeight="1" x14ac:dyDescent="0.2">
      <c r="A424" s="283"/>
      <c r="B424" s="283"/>
      <c r="C424" s="283"/>
      <c r="D424" s="283"/>
      <c r="E424" s="283"/>
      <c r="F424" s="283"/>
      <c r="G424" s="283"/>
      <c r="H424" s="283"/>
      <c r="I424" s="283"/>
      <c r="J424" s="283"/>
      <c r="K424" s="283"/>
      <c r="L424" s="283"/>
      <c r="M424" s="283"/>
      <c r="N424" s="283"/>
      <c r="O424" s="283"/>
      <c r="P424" s="283"/>
      <c r="Q424" s="283"/>
      <c r="R424" s="283"/>
      <c r="S424" s="283"/>
      <c r="T424" s="283"/>
      <c r="U424" s="283"/>
      <c r="V424" s="283"/>
      <c r="W424" s="283"/>
      <c r="X424" s="283"/>
    </row>
    <row r="425" spans="1:24" ht="13.5" customHeight="1" x14ac:dyDescent="0.2">
      <c r="A425" s="283"/>
      <c r="B425" s="283"/>
      <c r="C425" s="283"/>
      <c r="D425" s="283"/>
      <c r="E425" s="283"/>
      <c r="F425" s="283"/>
      <c r="G425" s="283"/>
      <c r="H425" s="283"/>
      <c r="I425" s="283"/>
      <c r="J425" s="283"/>
      <c r="K425" s="283"/>
      <c r="L425" s="283"/>
      <c r="M425" s="283"/>
      <c r="N425" s="283"/>
      <c r="O425" s="283"/>
      <c r="P425" s="283"/>
      <c r="Q425" s="283"/>
      <c r="R425" s="283"/>
      <c r="S425" s="283"/>
      <c r="T425" s="283"/>
      <c r="U425" s="283"/>
      <c r="V425" s="283"/>
      <c r="W425" s="283"/>
      <c r="X425" s="283"/>
    </row>
    <row r="426" spans="1:24" ht="13.5" customHeight="1" x14ac:dyDescent="0.2">
      <c r="A426" s="283"/>
      <c r="B426" s="283"/>
      <c r="C426" s="283"/>
      <c r="D426" s="283"/>
      <c r="E426" s="283"/>
      <c r="F426" s="283"/>
      <c r="G426" s="283"/>
      <c r="H426" s="283"/>
      <c r="I426" s="283"/>
      <c r="J426" s="283"/>
      <c r="K426" s="283"/>
      <c r="L426" s="283"/>
      <c r="M426" s="283"/>
      <c r="N426" s="283"/>
      <c r="O426" s="283"/>
      <c r="P426" s="283"/>
      <c r="Q426" s="283"/>
      <c r="R426" s="283"/>
      <c r="S426" s="283"/>
      <c r="T426" s="283"/>
      <c r="U426" s="283"/>
      <c r="V426" s="283"/>
      <c r="W426" s="283"/>
      <c r="X426" s="283"/>
    </row>
    <row r="427" spans="1:24" ht="13.5" customHeight="1" x14ac:dyDescent="0.2">
      <c r="A427" s="283"/>
      <c r="B427" s="283"/>
      <c r="C427" s="283"/>
      <c r="D427" s="283"/>
      <c r="E427" s="283"/>
      <c r="F427" s="283"/>
      <c r="G427" s="283"/>
      <c r="H427" s="283"/>
      <c r="I427" s="283"/>
      <c r="J427" s="283"/>
      <c r="K427" s="283"/>
      <c r="L427" s="283"/>
      <c r="M427" s="283"/>
      <c r="N427" s="283"/>
      <c r="O427" s="283"/>
      <c r="P427" s="283"/>
      <c r="Q427" s="283"/>
      <c r="R427" s="283"/>
      <c r="S427" s="283"/>
      <c r="T427" s="283"/>
      <c r="U427" s="283"/>
      <c r="V427" s="283"/>
      <c r="W427" s="283"/>
      <c r="X427" s="283"/>
    </row>
    <row r="428" spans="1:24" ht="13.5" customHeight="1" x14ac:dyDescent="0.2">
      <c r="A428" s="283"/>
      <c r="B428" s="283"/>
      <c r="C428" s="283"/>
      <c r="D428" s="283"/>
      <c r="E428" s="283"/>
      <c r="F428" s="283"/>
      <c r="G428" s="283"/>
      <c r="H428" s="283"/>
      <c r="I428" s="283"/>
      <c r="J428" s="283"/>
      <c r="K428" s="283"/>
      <c r="L428" s="283"/>
      <c r="M428" s="283"/>
      <c r="N428" s="283"/>
      <c r="O428" s="283"/>
      <c r="P428" s="283"/>
      <c r="Q428" s="283"/>
      <c r="R428" s="283"/>
      <c r="S428" s="283"/>
      <c r="T428" s="283"/>
      <c r="U428" s="283"/>
      <c r="V428" s="283"/>
      <c r="W428" s="283"/>
      <c r="X428" s="283"/>
    </row>
    <row r="429" spans="1:24" ht="13.5" customHeight="1" x14ac:dyDescent="0.2">
      <c r="A429" s="283"/>
      <c r="B429" s="283"/>
      <c r="C429" s="283"/>
      <c r="D429" s="283"/>
      <c r="E429" s="283"/>
      <c r="F429" s="283"/>
      <c r="G429" s="283"/>
      <c r="H429" s="283"/>
      <c r="I429" s="283"/>
      <c r="J429" s="283"/>
      <c r="K429" s="283"/>
      <c r="L429" s="283"/>
      <c r="M429" s="283"/>
      <c r="N429" s="283"/>
      <c r="O429" s="283"/>
      <c r="P429" s="283"/>
      <c r="Q429" s="283"/>
      <c r="R429" s="283"/>
      <c r="S429" s="283"/>
      <c r="T429" s="283"/>
      <c r="U429" s="283"/>
      <c r="V429" s="283"/>
      <c r="W429" s="283"/>
      <c r="X429" s="283"/>
    </row>
    <row r="430" spans="1:24" ht="13.5" customHeight="1" x14ac:dyDescent="0.2">
      <c r="A430" s="283"/>
      <c r="B430" s="283"/>
      <c r="C430" s="283"/>
      <c r="D430" s="283"/>
      <c r="E430" s="283"/>
      <c r="F430" s="283"/>
      <c r="G430" s="283"/>
      <c r="H430" s="283"/>
      <c r="I430" s="283"/>
      <c r="J430" s="283"/>
      <c r="K430" s="283"/>
      <c r="L430" s="283"/>
      <c r="M430" s="283"/>
      <c r="N430" s="283"/>
      <c r="O430" s="283"/>
      <c r="P430" s="283"/>
      <c r="Q430" s="283"/>
      <c r="R430" s="283"/>
      <c r="S430" s="283"/>
      <c r="T430" s="283"/>
      <c r="U430" s="283"/>
      <c r="V430" s="283"/>
      <c r="W430" s="283"/>
      <c r="X430" s="283"/>
    </row>
    <row r="431" spans="1:24" ht="13.5" customHeight="1" x14ac:dyDescent="0.2">
      <c r="A431" s="283"/>
      <c r="B431" s="283"/>
      <c r="C431" s="283"/>
      <c r="D431" s="283"/>
      <c r="E431" s="283"/>
      <c r="F431" s="283"/>
      <c r="G431" s="283"/>
      <c r="H431" s="283"/>
      <c r="I431" s="283"/>
      <c r="J431" s="283"/>
      <c r="K431" s="283"/>
      <c r="L431" s="283"/>
      <c r="M431" s="283"/>
      <c r="N431" s="283"/>
      <c r="O431" s="283"/>
      <c r="P431" s="283"/>
      <c r="Q431" s="283"/>
      <c r="R431" s="283"/>
      <c r="S431" s="283"/>
      <c r="T431" s="283"/>
      <c r="U431" s="283"/>
      <c r="V431" s="283"/>
      <c r="W431" s="283"/>
      <c r="X431" s="283"/>
    </row>
    <row r="432" spans="1:24" ht="13.5" customHeight="1" x14ac:dyDescent="0.2">
      <c r="A432" s="283"/>
      <c r="B432" s="283"/>
      <c r="C432" s="283"/>
      <c r="D432" s="283"/>
      <c r="E432" s="283"/>
      <c r="F432" s="283"/>
      <c r="G432" s="283"/>
      <c r="H432" s="283"/>
      <c r="I432" s="283"/>
      <c r="J432" s="283"/>
      <c r="K432" s="283"/>
      <c r="L432" s="283"/>
      <c r="M432" s="283"/>
      <c r="N432" s="283"/>
      <c r="O432" s="283"/>
      <c r="P432" s="283"/>
      <c r="Q432" s="283"/>
      <c r="R432" s="283"/>
      <c r="S432" s="283"/>
      <c r="T432" s="283"/>
      <c r="U432" s="283"/>
      <c r="V432" s="283"/>
      <c r="W432" s="283"/>
      <c r="X432" s="283"/>
    </row>
    <row r="433" spans="1:24" ht="13.5" customHeight="1" x14ac:dyDescent="0.2">
      <c r="A433" s="283"/>
      <c r="B433" s="283"/>
      <c r="C433" s="283"/>
      <c r="D433" s="283"/>
      <c r="E433" s="283"/>
      <c r="F433" s="283"/>
      <c r="G433" s="283"/>
      <c r="H433" s="283"/>
      <c r="I433" s="283"/>
      <c r="J433" s="283"/>
      <c r="K433" s="283"/>
      <c r="L433" s="283"/>
      <c r="M433" s="283"/>
      <c r="N433" s="283"/>
      <c r="O433" s="283"/>
      <c r="P433" s="283"/>
      <c r="Q433" s="283"/>
      <c r="R433" s="283"/>
      <c r="S433" s="283"/>
      <c r="T433" s="283"/>
      <c r="U433" s="283"/>
      <c r="V433" s="283"/>
      <c r="W433" s="283"/>
      <c r="X433" s="283"/>
    </row>
    <row r="434" spans="1:24" ht="13.5" customHeight="1" x14ac:dyDescent="0.2">
      <c r="A434" s="283"/>
      <c r="B434" s="283"/>
      <c r="C434" s="283"/>
      <c r="D434" s="283"/>
      <c r="E434" s="283"/>
      <c r="F434" s="283"/>
      <c r="G434" s="283"/>
      <c r="H434" s="283"/>
      <c r="I434" s="283"/>
      <c r="J434" s="283"/>
      <c r="K434" s="283"/>
      <c r="L434" s="283"/>
      <c r="M434" s="283"/>
      <c r="N434" s="283"/>
      <c r="O434" s="283"/>
      <c r="P434" s="283"/>
      <c r="Q434" s="283"/>
      <c r="R434" s="283"/>
      <c r="S434" s="283"/>
      <c r="T434" s="283"/>
      <c r="U434" s="283"/>
      <c r="V434" s="283"/>
      <c r="W434" s="283"/>
      <c r="X434" s="283"/>
    </row>
    <row r="435" spans="1:24" ht="13.5" customHeight="1" x14ac:dyDescent="0.2">
      <c r="A435" s="283"/>
      <c r="B435" s="283"/>
      <c r="C435" s="283"/>
      <c r="D435" s="283"/>
      <c r="E435" s="283"/>
      <c r="F435" s="283"/>
      <c r="G435" s="283"/>
      <c r="H435" s="283"/>
      <c r="I435" s="283"/>
      <c r="J435" s="283"/>
      <c r="K435" s="283"/>
      <c r="L435" s="283"/>
      <c r="M435" s="283"/>
      <c r="N435" s="283"/>
      <c r="O435" s="283"/>
      <c r="P435" s="283"/>
      <c r="Q435" s="283"/>
      <c r="R435" s="283"/>
      <c r="S435" s="283"/>
      <c r="T435" s="283"/>
      <c r="U435" s="283"/>
      <c r="V435" s="283"/>
      <c r="W435" s="283"/>
      <c r="X435" s="283"/>
    </row>
    <row r="436" spans="1:24" ht="13.5" customHeight="1" x14ac:dyDescent="0.2">
      <c r="A436" s="283"/>
      <c r="B436" s="283"/>
      <c r="C436" s="283"/>
      <c r="D436" s="283"/>
      <c r="E436" s="283"/>
      <c r="F436" s="283"/>
      <c r="G436" s="283"/>
      <c r="H436" s="283"/>
      <c r="I436" s="283"/>
      <c r="J436" s="283"/>
      <c r="K436" s="283"/>
      <c r="L436" s="283"/>
      <c r="M436" s="283"/>
      <c r="N436" s="283"/>
      <c r="O436" s="283"/>
      <c r="P436" s="283"/>
      <c r="Q436" s="283"/>
      <c r="R436" s="283"/>
      <c r="S436" s="283"/>
      <c r="T436" s="283"/>
      <c r="U436" s="283"/>
      <c r="V436" s="283"/>
      <c r="W436" s="283"/>
      <c r="X436" s="283"/>
    </row>
    <row r="437" spans="1:24" ht="13.5" customHeight="1" x14ac:dyDescent="0.2">
      <c r="A437" s="283"/>
      <c r="B437" s="283"/>
      <c r="C437" s="283"/>
      <c r="D437" s="283"/>
      <c r="E437" s="283"/>
      <c r="F437" s="283"/>
      <c r="G437" s="283"/>
      <c r="H437" s="283"/>
      <c r="I437" s="283"/>
      <c r="J437" s="283"/>
      <c r="K437" s="283"/>
      <c r="L437" s="283"/>
      <c r="M437" s="283"/>
      <c r="N437" s="283"/>
      <c r="O437" s="283"/>
      <c r="P437" s="283"/>
      <c r="Q437" s="283"/>
      <c r="R437" s="283"/>
      <c r="S437" s="283"/>
      <c r="T437" s="283"/>
      <c r="U437" s="283"/>
      <c r="V437" s="283"/>
      <c r="W437" s="283"/>
      <c r="X437" s="283"/>
    </row>
    <row r="438" spans="1:24" ht="13.5" customHeight="1" x14ac:dyDescent="0.2">
      <c r="A438" s="283"/>
      <c r="B438" s="283"/>
      <c r="C438" s="283"/>
      <c r="D438" s="283"/>
      <c r="E438" s="283"/>
      <c r="F438" s="283"/>
      <c r="G438" s="283"/>
      <c r="H438" s="283"/>
      <c r="I438" s="283"/>
      <c r="J438" s="283"/>
      <c r="K438" s="283"/>
      <c r="L438" s="283"/>
      <c r="M438" s="283"/>
      <c r="N438" s="283"/>
      <c r="O438" s="283"/>
      <c r="P438" s="283"/>
      <c r="Q438" s="283"/>
      <c r="R438" s="283"/>
      <c r="S438" s="283"/>
      <c r="T438" s="283"/>
      <c r="U438" s="283"/>
      <c r="V438" s="283"/>
      <c r="W438" s="283"/>
      <c r="X438" s="283"/>
    </row>
    <row r="439" spans="1:24" ht="13.5" customHeight="1" x14ac:dyDescent="0.2">
      <c r="A439" s="283"/>
      <c r="B439" s="283"/>
      <c r="C439" s="283"/>
      <c r="D439" s="283"/>
      <c r="E439" s="283"/>
      <c r="F439" s="283"/>
      <c r="G439" s="283"/>
      <c r="H439" s="283"/>
      <c r="I439" s="283"/>
      <c r="J439" s="283"/>
      <c r="K439" s="283"/>
      <c r="L439" s="283"/>
      <c r="M439" s="283"/>
      <c r="N439" s="283"/>
      <c r="O439" s="283"/>
      <c r="P439" s="283"/>
      <c r="Q439" s="283"/>
      <c r="R439" s="283"/>
      <c r="S439" s="283"/>
      <c r="T439" s="283"/>
      <c r="U439" s="283"/>
      <c r="V439" s="283"/>
      <c r="W439" s="283"/>
      <c r="X439" s="283"/>
    </row>
    <row r="440" spans="1:24" ht="13.5" customHeight="1" x14ac:dyDescent="0.2">
      <c r="A440" s="283"/>
      <c r="B440" s="283"/>
      <c r="C440" s="283"/>
      <c r="D440" s="283"/>
      <c r="E440" s="283"/>
      <c r="F440" s="283"/>
      <c r="G440" s="283"/>
      <c r="H440" s="283"/>
      <c r="I440" s="283"/>
      <c r="J440" s="283"/>
      <c r="K440" s="283"/>
      <c r="L440" s="283"/>
      <c r="M440" s="283"/>
      <c r="N440" s="283"/>
      <c r="O440" s="283"/>
      <c r="P440" s="283"/>
      <c r="Q440" s="283"/>
      <c r="R440" s="283"/>
      <c r="S440" s="283"/>
      <c r="T440" s="283"/>
      <c r="U440" s="283"/>
      <c r="V440" s="283"/>
      <c r="W440" s="283"/>
      <c r="X440" s="283"/>
    </row>
    <row r="441" spans="1:24" ht="13.5" customHeight="1" x14ac:dyDescent="0.2">
      <c r="A441" s="283"/>
      <c r="B441" s="283"/>
      <c r="C441" s="283"/>
      <c r="D441" s="283"/>
      <c r="E441" s="283"/>
      <c r="F441" s="283"/>
      <c r="G441" s="283"/>
      <c r="H441" s="283"/>
      <c r="I441" s="283"/>
      <c r="J441" s="283"/>
      <c r="K441" s="283"/>
      <c r="L441" s="283"/>
      <c r="M441" s="283"/>
      <c r="N441" s="283"/>
      <c r="O441" s="283"/>
      <c r="P441" s="283"/>
      <c r="Q441" s="283"/>
      <c r="R441" s="283"/>
      <c r="S441" s="283"/>
      <c r="T441" s="283"/>
      <c r="U441" s="283"/>
      <c r="V441" s="283"/>
      <c r="W441" s="283"/>
      <c r="X441" s="283"/>
    </row>
    <row r="442" spans="1:24" ht="13.5" customHeight="1" x14ac:dyDescent="0.2">
      <c r="A442" s="283"/>
      <c r="B442" s="283"/>
      <c r="C442" s="283"/>
      <c r="D442" s="283"/>
      <c r="E442" s="283"/>
      <c r="F442" s="283"/>
      <c r="G442" s="283"/>
      <c r="H442" s="283"/>
      <c r="I442" s="283"/>
      <c r="J442" s="283"/>
      <c r="K442" s="283"/>
      <c r="L442" s="283"/>
      <c r="M442" s="283"/>
      <c r="N442" s="283"/>
      <c r="O442" s="283"/>
      <c r="P442" s="283"/>
      <c r="Q442" s="283"/>
      <c r="R442" s="283"/>
      <c r="S442" s="283"/>
      <c r="T442" s="283"/>
      <c r="U442" s="283"/>
      <c r="V442" s="283"/>
      <c r="W442" s="283"/>
      <c r="X442" s="283"/>
    </row>
    <row r="443" spans="1:24" ht="13.5" customHeight="1" x14ac:dyDescent="0.2">
      <c r="A443" s="283"/>
      <c r="B443" s="283"/>
      <c r="C443" s="283"/>
      <c r="D443" s="283"/>
      <c r="E443" s="283"/>
      <c r="F443" s="283"/>
      <c r="G443" s="283"/>
      <c r="H443" s="283"/>
      <c r="I443" s="283"/>
      <c r="J443" s="283"/>
      <c r="K443" s="283"/>
      <c r="L443" s="283"/>
      <c r="M443" s="283"/>
      <c r="N443" s="283"/>
      <c r="O443" s="283"/>
      <c r="P443" s="283"/>
      <c r="Q443" s="283"/>
      <c r="R443" s="283"/>
      <c r="S443" s="283"/>
      <c r="T443" s="283"/>
      <c r="U443" s="283"/>
      <c r="V443" s="283"/>
      <c r="W443" s="283"/>
      <c r="X443" s="283"/>
    </row>
    <row r="444" spans="1:24" ht="13.5" customHeight="1" x14ac:dyDescent="0.2">
      <c r="A444" s="283"/>
      <c r="B444" s="283"/>
      <c r="C444" s="283"/>
      <c r="D444" s="283"/>
      <c r="E444" s="283"/>
      <c r="F444" s="283"/>
      <c r="G444" s="283"/>
      <c r="H444" s="283"/>
      <c r="I444" s="283"/>
      <c r="J444" s="283"/>
      <c r="K444" s="283"/>
      <c r="L444" s="283"/>
      <c r="M444" s="283"/>
      <c r="N444" s="283"/>
      <c r="O444" s="283"/>
      <c r="P444" s="283"/>
      <c r="Q444" s="283"/>
      <c r="R444" s="283"/>
      <c r="S444" s="283"/>
      <c r="T444" s="283"/>
      <c r="U444" s="283"/>
      <c r="V444" s="283"/>
      <c r="W444" s="283"/>
      <c r="X444" s="283"/>
    </row>
    <row r="445" spans="1:24" ht="13.5" customHeight="1" x14ac:dyDescent="0.2">
      <c r="A445" s="283"/>
      <c r="B445" s="283"/>
      <c r="C445" s="283"/>
      <c r="D445" s="283"/>
      <c r="E445" s="283"/>
      <c r="F445" s="283"/>
      <c r="G445" s="283"/>
      <c r="H445" s="283"/>
      <c r="I445" s="283"/>
      <c r="J445" s="283"/>
      <c r="K445" s="283"/>
      <c r="L445" s="283"/>
      <c r="M445" s="283"/>
      <c r="N445" s="283"/>
      <c r="O445" s="283"/>
      <c r="P445" s="283"/>
      <c r="Q445" s="283"/>
      <c r="R445" s="283"/>
      <c r="S445" s="283"/>
      <c r="T445" s="283"/>
      <c r="U445" s="283"/>
      <c r="V445" s="283"/>
      <c r="W445" s="283"/>
      <c r="X445" s="283"/>
    </row>
    <row r="446" spans="1:24" ht="13.5" customHeight="1" x14ac:dyDescent="0.2">
      <c r="A446" s="283"/>
      <c r="B446" s="283"/>
      <c r="C446" s="283"/>
      <c r="D446" s="283"/>
      <c r="E446" s="283"/>
      <c r="F446" s="283"/>
      <c r="G446" s="283"/>
      <c r="H446" s="283"/>
      <c r="I446" s="283"/>
      <c r="J446" s="283"/>
      <c r="K446" s="283"/>
      <c r="L446" s="283"/>
      <c r="M446" s="283"/>
      <c r="N446" s="283"/>
      <c r="O446" s="283"/>
      <c r="P446" s="283"/>
      <c r="Q446" s="283"/>
      <c r="R446" s="283"/>
      <c r="S446" s="283"/>
      <c r="T446" s="283"/>
      <c r="U446" s="283"/>
      <c r="V446" s="283"/>
      <c r="W446" s="283"/>
      <c r="X446" s="283"/>
    </row>
    <row r="447" spans="1:24" ht="13.5" customHeight="1" x14ac:dyDescent="0.2">
      <c r="A447" s="283"/>
      <c r="B447" s="283"/>
      <c r="C447" s="283"/>
      <c r="D447" s="283"/>
      <c r="E447" s="283"/>
      <c r="F447" s="283"/>
      <c r="G447" s="283"/>
      <c r="H447" s="283"/>
      <c r="I447" s="283"/>
      <c r="J447" s="283"/>
      <c r="K447" s="283"/>
      <c r="L447" s="283"/>
      <c r="M447" s="283"/>
      <c r="N447" s="283"/>
      <c r="O447" s="283"/>
      <c r="P447" s="283"/>
      <c r="Q447" s="283"/>
      <c r="R447" s="283"/>
      <c r="S447" s="283"/>
      <c r="T447" s="283"/>
      <c r="U447" s="283"/>
      <c r="V447" s="283"/>
      <c r="W447" s="283"/>
      <c r="X447" s="283"/>
    </row>
    <row r="448" spans="1:24" ht="13.5" customHeight="1" x14ac:dyDescent="0.2">
      <c r="A448" s="283"/>
      <c r="B448" s="283"/>
      <c r="C448" s="283"/>
      <c r="D448" s="283"/>
      <c r="E448" s="283"/>
      <c r="F448" s="283"/>
      <c r="G448" s="283"/>
      <c r="H448" s="283"/>
      <c r="I448" s="283"/>
      <c r="J448" s="283"/>
      <c r="K448" s="283"/>
      <c r="L448" s="283"/>
      <c r="M448" s="283"/>
      <c r="N448" s="283"/>
      <c r="O448" s="283"/>
      <c r="P448" s="283"/>
      <c r="Q448" s="283"/>
      <c r="R448" s="283"/>
      <c r="S448" s="283"/>
      <c r="T448" s="283"/>
      <c r="U448" s="283"/>
      <c r="V448" s="283"/>
      <c r="W448" s="283"/>
      <c r="X448" s="283"/>
    </row>
    <row r="449" spans="1:24" ht="13.5" customHeight="1" x14ac:dyDescent="0.2">
      <c r="A449" s="283"/>
      <c r="B449" s="283"/>
      <c r="C449" s="283"/>
      <c r="D449" s="283"/>
      <c r="E449" s="283"/>
      <c r="F449" s="283"/>
      <c r="G449" s="283"/>
      <c r="H449" s="283"/>
      <c r="I449" s="283"/>
      <c r="J449" s="283"/>
      <c r="K449" s="283"/>
      <c r="L449" s="283"/>
      <c r="M449" s="283"/>
      <c r="N449" s="283"/>
      <c r="O449" s="283"/>
      <c r="P449" s="283"/>
      <c r="Q449" s="283"/>
      <c r="R449" s="283"/>
      <c r="S449" s="283"/>
      <c r="T449" s="283"/>
      <c r="U449" s="283"/>
      <c r="V449" s="283"/>
      <c r="W449" s="283"/>
      <c r="X449" s="283"/>
    </row>
    <row r="450" spans="1:24" ht="13.5" customHeight="1" x14ac:dyDescent="0.2">
      <c r="A450" s="283"/>
      <c r="B450" s="283"/>
      <c r="C450" s="283"/>
      <c r="D450" s="283"/>
      <c r="E450" s="283"/>
      <c r="F450" s="283"/>
      <c r="G450" s="283"/>
      <c r="H450" s="283"/>
      <c r="I450" s="283"/>
      <c r="J450" s="283"/>
      <c r="K450" s="283"/>
      <c r="L450" s="283"/>
      <c r="M450" s="283"/>
      <c r="N450" s="283"/>
      <c r="O450" s="283"/>
      <c r="P450" s="283"/>
      <c r="Q450" s="283"/>
      <c r="R450" s="283"/>
      <c r="S450" s="283"/>
      <c r="T450" s="283"/>
      <c r="U450" s="283"/>
      <c r="V450" s="283"/>
      <c r="W450" s="283"/>
      <c r="X450" s="283"/>
    </row>
    <row r="451" spans="1:24" ht="13.5" customHeight="1" x14ac:dyDescent="0.2">
      <c r="A451" s="283"/>
      <c r="B451" s="283"/>
      <c r="C451" s="283"/>
      <c r="D451" s="283"/>
      <c r="E451" s="283"/>
      <c r="F451" s="283"/>
      <c r="G451" s="283"/>
      <c r="H451" s="283"/>
      <c r="I451" s="283"/>
      <c r="J451" s="283"/>
      <c r="K451" s="283"/>
      <c r="L451" s="283"/>
      <c r="M451" s="283"/>
      <c r="N451" s="283"/>
      <c r="O451" s="283"/>
      <c r="P451" s="283"/>
      <c r="Q451" s="283"/>
      <c r="R451" s="283"/>
      <c r="S451" s="283"/>
      <c r="T451" s="283"/>
      <c r="U451" s="283"/>
      <c r="V451" s="283"/>
      <c r="W451" s="283"/>
      <c r="X451" s="283"/>
    </row>
    <row r="452" spans="1:24" ht="13.5" customHeight="1" x14ac:dyDescent="0.2">
      <c r="A452" s="283"/>
      <c r="B452" s="283"/>
      <c r="C452" s="283"/>
      <c r="D452" s="283"/>
      <c r="E452" s="283"/>
      <c r="F452" s="283"/>
      <c r="G452" s="283"/>
      <c r="H452" s="283"/>
      <c r="I452" s="283"/>
      <c r="J452" s="283"/>
      <c r="K452" s="283"/>
      <c r="L452" s="283"/>
      <c r="M452" s="283"/>
      <c r="N452" s="283"/>
      <c r="O452" s="283"/>
      <c r="P452" s="283"/>
      <c r="Q452" s="283"/>
      <c r="R452" s="283"/>
      <c r="S452" s="283"/>
      <c r="T452" s="283"/>
      <c r="U452" s="283"/>
      <c r="V452" s="283"/>
      <c r="W452" s="283"/>
      <c r="X452" s="283"/>
    </row>
    <row r="453" spans="1:24" ht="13.5" customHeight="1" x14ac:dyDescent="0.2">
      <c r="A453" s="283"/>
      <c r="B453" s="283"/>
      <c r="C453" s="283"/>
      <c r="D453" s="283"/>
      <c r="E453" s="283"/>
      <c r="F453" s="283"/>
      <c r="G453" s="283"/>
      <c r="H453" s="283"/>
      <c r="I453" s="283"/>
      <c r="J453" s="283"/>
      <c r="K453" s="283"/>
      <c r="L453" s="283"/>
      <c r="M453" s="283"/>
      <c r="N453" s="283"/>
      <c r="O453" s="283"/>
      <c r="P453" s="283"/>
      <c r="Q453" s="283"/>
      <c r="R453" s="283"/>
      <c r="S453" s="283"/>
      <c r="T453" s="283"/>
      <c r="U453" s="283"/>
      <c r="V453" s="283"/>
      <c r="W453" s="283"/>
      <c r="X453" s="283"/>
    </row>
    <row r="454" spans="1:24" ht="13.5" customHeight="1" x14ac:dyDescent="0.2">
      <c r="A454" s="283"/>
      <c r="B454" s="283"/>
      <c r="C454" s="283"/>
      <c r="D454" s="283"/>
      <c r="E454" s="283"/>
      <c r="F454" s="283"/>
      <c r="G454" s="283"/>
      <c r="H454" s="283"/>
      <c r="I454" s="283"/>
      <c r="J454" s="283"/>
      <c r="K454" s="283"/>
      <c r="L454" s="283"/>
      <c r="M454" s="283"/>
      <c r="N454" s="283"/>
      <c r="O454" s="283"/>
      <c r="P454" s="283"/>
      <c r="Q454" s="283"/>
      <c r="R454" s="283"/>
      <c r="S454" s="283"/>
      <c r="T454" s="283"/>
      <c r="U454" s="283"/>
      <c r="V454" s="283"/>
      <c r="W454" s="283"/>
      <c r="X454" s="283"/>
    </row>
    <row r="455" spans="1:24" ht="13.5" customHeight="1" x14ac:dyDescent="0.2">
      <c r="A455" s="283"/>
      <c r="B455" s="283"/>
      <c r="C455" s="283"/>
      <c r="D455" s="283"/>
      <c r="E455" s="283"/>
      <c r="F455" s="283"/>
      <c r="G455" s="283"/>
      <c r="H455" s="283"/>
      <c r="I455" s="283"/>
      <c r="J455" s="283"/>
      <c r="K455" s="283"/>
      <c r="L455" s="283"/>
      <c r="M455" s="283"/>
      <c r="N455" s="283"/>
      <c r="O455" s="283"/>
      <c r="P455" s="283"/>
      <c r="Q455" s="283"/>
      <c r="R455" s="283"/>
      <c r="S455" s="283"/>
      <c r="T455" s="283"/>
      <c r="U455" s="283"/>
      <c r="V455" s="283"/>
      <c r="W455" s="283"/>
      <c r="X455" s="283"/>
    </row>
    <row r="456" spans="1:24" ht="13.5" customHeight="1" x14ac:dyDescent="0.2">
      <c r="A456" s="283"/>
      <c r="B456" s="283"/>
      <c r="C456" s="283"/>
      <c r="D456" s="283"/>
      <c r="E456" s="283"/>
      <c r="F456" s="283"/>
      <c r="G456" s="283"/>
      <c r="H456" s="283"/>
      <c r="I456" s="283"/>
      <c r="J456" s="283"/>
      <c r="K456" s="283"/>
      <c r="L456" s="283"/>
      <c r="M456" s="283"/>
      <c r="N456" s="283"/>
      <c r="O456" s="283"/>
      <c r="P456" s="283"/>
      <c r="Q456" s="283"/>
      <c r="R456" s="283"/>
      <c r="S456" s="283"/>
      <c r="T456" s="283"/>
      <c r="U456" s="283"/>
      <c r="V456" s="283"/>
      <c r="W456" s="283"/>
      <c r="X456" s="283"/>
    </row>
    <row r="457" spans="1:24" ht="13.5" customHeight="1" x14ac:dyDescent="0.2">
      <c r="A457" s="283"/>
      <c r="B457" s="283"/>
      <c r="C457" s="283"/>
      <c r="D457" s="283"/>
      <c r="E457" s="283"/>
      <c r="F457" s="283"/>
      <c r="G457" s="283"/>
      <c r="H457" s="283"/>
      <c r="I457" s="283"/>
      <c r="J457" s="283"/>
      <c r="K457" s="283"/>
      <c r="L457" s="283"/>
      <c r="M457" s="283"/>
      <c r="N457" s="283"/>
      <c r="O457" s="283"/>
      <c r="P457" s="283"/>
      <c r="Q457" s="283"/>
      <c r="R457" s="283"/>
      <c r="S457" s="283"/>
      <c r="T457" s="283"/>
      <c r="U457" s="283"/>
      <c r="V457" s="283"/>
      <c r="W457" s="283"/>
      <c r="X457" s="283"/>
    </row>
    <row r="458" spans="1:24" ht="13.5" customHeight="1" x14ac:dyDescent="0.2">
      <c r="A458" s="283"/>
      <c r="B458" s="283"/>
      <c r="C458" s="283"/>
      <c r="D458" s="283"/>
      <c r="E458" s="283"/>
      <c r="F458" s="283"/>
      <c r="G458" s="283"/>
      <c r="H458" s="283"/>
      <c r="I458" s="283"/>
      <c r="J458" s="283"/>
      <c r="K458" s="283"/>
      <c r="L458" s="283"/>
      <c r="M458" s="283"/>
      <c r="N458" s="283"/>
      <c r="O458" s="283"/>
      <c r="P458" s="283"/>
      <c r="Q458" s="283"/>
      <c r="R458" s="283"/>
      <c r="S458" s="283"/>
      <c r="T458" s="283"/>
      <c r="U458" s="283"/>
      <c r="V458" s="283"/>
      <c r="W458" s="283"/>
      <c r="X458" s="283"/>
    </row>
    <row r="459" spans="1:24" ht="13.5" customHeight="1" x14ac:dyDescent="0.2">
      <c r="A459" s="283"/>
      <c r="B459" s="283"/>
      <c r="C459" s="283"/>
      <c r="D459" s="283"/>
      <c r="E459" s="283"/>
      <c r="F459" s="283"/>
      <c r="G459" s="283"/>
      <c r="H459" s="283"/>
      <c r="I459" s="283"/>
      <c r="J459" s="283"/>
      <c r="K459" s="283"/>
      <c r="L459" s="283"/>
      <c r="M459" s="283"/>
      <c r="N459" s="283"/>
      <c r="O459" s="283"/>
      <c r="P459" s="283"/>
      <c r="Q459" s="283"/>
      <c r="R459" s="283"/>
      <c r="S459" s="283"/>
      <c r="T459" s="283"/>
      <c r="U459" s="283"/>
      <c r="V459" s="283"/>
      <c r="W459" s="283"/>
      <c r="X459" s="283"/>
    </row>
    <row r="460" spans="1:24" ht="13.5" customHeight="1" x14ac:dyDescent="0.2">
      <c r="A460" s="283"/>
      <c r="B460" s="283"/>
      <c r="C460" s="283"/>
      <c r="D460" s="283"/>
      <c r="E460" s="283"/>
      <c r="F460" s="283"/>
      <c r="G460" s="283"/>
      <c r="H460" s="283"/>
      <c r="I460" s="283"/>
      <c r="J460" s="283"/>
      <c r="K460" s="283"/>
      <c r="L460" s="283"/>
      <c r="M460" s="283"/>
      <c r="N460" s="283"/>
      <c r="O460" s="283"/>
      <c r="P460" s="283"/>
      <c r="Q460" s="283"/>
      <c r="R460" s="283"/>
      <c r="S460" s="283"/>
      <c r="T460" s="283"/>
      <c r="U460" s="283"/>
      <c r="V460" s="283"/>
      <c r="W460" s="283"/>
      <c r="X460" s="283"/>
    </row>
    <row r="461" spans="1:24" ht="13.5" customHeight="1" x14ac:dyDescent="0.2">
      <c r="A461" s="283"/>
      <c r="B461" s="283"/>
      <c r="C461" s="283"/>
      <c r="D461" s="283"/>
      <c r="E461" s="283"/>
      <c r="F461" s="283"/>
      <c r="G461" s="283"/>
      <c r="H461" s="283"/>
      <c r="I461" s="283"/>
      <c r="J461" s="283"/>
      <c r="K461" s="283"/>
      <c r="L461" s="283"/>
      <c r="M461" s="283"/>
      <c r="N461" s="283"/>
      <c r="O461" s="283"/>
      <c r="P461" s="283"/>
      <c r="Q461" s="283"/>
      <c r="R461" s="283"/>
      <c r="S461" s="283"/>
      <c r="T461" s="283"/>
      <c r="U461" s="283"/>
      <c r="V461" s="283"/>
      <c r="W461" s="283"/>
      <c r="X461" s="283"/>
    </row>
    <row r="462" spans="1:24" ht="13.5" customHeight="1" x14ac:dyDescent="0.2">
      <c r="A462" s="283"/>
      <c r="B462" s="283"/>
      <c r="C462" s="283"/>
      <c r="D462" s="283"/>
      <c r="E462" s="283"/>
      <c r="F462" s="283"/>
      <c r="G462" s="283"/>
      <c r="H462" s="283"/>
      <c r="I462" s="283"/>
      <c r="J462" s="283"/>
      <c r="K462" s="283"/>
      <c r="L462" s="283"/>
      <c r="M462" s="283"/>
      <c r="N462" s="283"/>
      <c r="O462" s="283"/>
      <c r="P462" s="283"/>
      <c r="Q462" s="283"/>
      <c r="R462" s="283"/>
      <c r="S462" s="283"/>
      <c r="T462" s="283"/>
      <c r="U462" s="283"/>
      <c r="V462" s="283"/>
      <c r="W462" s="283"/>
      <c r="X462" s="283"/>
    </row>
    <row r="463" spans="1:24" ht="13.5" customHeight="1" x14ac:dyDescent="0.2">
      <c r="A463" s="283"/>
      <c r="B463" s="283"/>
      <c r="C463" s="283"/>
      <c r="D463" s="283"/>
      <c r="E463" s="283"/>
      <c r="F463" s="283"/>
      <c r="G463" s="283"/>
      <c r="H463" s="283"/>
      <c r="I463" s="283"/>
      <c r="J463" s="283"/>
      <c r="K463" s="283"/>
      <c r="L463" s="283"/>
      <c r="M463" s="283"/>
      <c r="N463" s="283"/>
      <c r="O463" s="283"/>
      <c r="P463" s="283"/>
      <c r="Q463" s="283"/>
      <c r="R463" s="283"/>
      <c r="S463" s="283"/>
      <c r="T463" s="283"/>
      <c r="U463" s="283"/>
      <c r="V463" s="283"/>
      <c r="W463" s="283"/>
      <c r="X463" s="283"/>
    </row>
    <row r="464" spans="1:24" ht="13.5" customHeight="1" x14ac:dyDescent="0.2">
      <c r="A464" s="283"/>
      <c r="B464" s="283"/>
      <c r="C464" s="283"/>
      <c r="D464" s="283"/>
      <c r="E464" s="283"/>
      <c r="F464" s="283"/>
      <c r="G464" s="283"/>
      <c r="H464" s="283"/>
      <c r="I464" s="283"/>
      <c r="J464" s="283"/>
      <c r="K464" s="283"/>
      <c r="L464" s="283"/>
      <c r="M464" s="283"/>
      <c r="N464" s="283"/>
      <c r="O464" s="283"/>
      <c r="P464" s="283"/>
      <c r="Q464" s="283"/>
      <c r="R464" s="283"/>
      <c r="S464" s="283"/>
      <c r="T464" s="283"/>
      <c r="U464" s="283"/>
      <c r="V464" s="283"/>
      <c r="W464" s="283"/>
      <c r="X464" s="283"/>
    </row>
    <row r="465" spans="1:24" ht="13.5" customHeight="1" x14ac:dyDescent="0.2">
      <c r="A465" s="283"/>
      <c r="B465" s="283"/>
      <c r="C465" s="283"/>
      <c r="D465" s="283"/>
      <c r="E465" s="283"/>
      <c r="F465" s="283"/>
      <c r="G465" s="283"/>
      <c r="H465" s="283"/>
      <c r="I465" s="283"/>
      <c r="J465" s="283"/>
      <c r="K465" s="283"/>
      <c r="L465" s="283"/>
      <c r="M465" s="283"/>
      <c r="N465" s="283"/>
      <c r="O465" s="283"/>
      <c r="P465" s="283"/>
      <c r="Q465" s="283"/>
      <c r="R465" s="283"/>
      <c r="S465" s="283"/>
      <c r="T465" s="283"/>
      <c r="U465" s="283"/>
      <c r="V465" s="283"/>
      <c r="W465" s="283"/>
      <c r="X465" s="283"/>
    </row>
    <row r="466" spans="1:24" ht="13.5" customHeight="1" x14ac:dyDescent="0.2">
      <c r="A466" s="283"/>
      <c r="B466" s="283"/>
      <c r="C466" s="283"/>
      <c r="D466" s="283"/>
      <c r="E466" s="283"/>
      <c r="F466" s="283"/>
      <c r="G466" s="283"/>
      <c r="H466" s="283"/>
      <c r="I466" s="283"/>
      <c r="J466" s="283"/>
      <c r="K466" s="283"/>
      <c r="L466" s="283"/>
      <c r="M466" s="283"/>
      <c r="N466" s="283"/>
      <c r="O466" s="283"/>
      <c r="P466" s="283"/>
      <c r="Q466" s="283"/>
      <c r="R466" s="283"/>
      <c r="S466" s="283"/>
      <c r="T466" s="283"/>
      <c r="U466" s="283"/>
      <c r="V466" s="283"/>
      <c r="W466" s="283"/>
      <c r="X466" s="283"/>
    </row>
    <row r="467" spans="1:24" ht="13.5" customHeight="1" x14ac:dyDescent="0.2">
      <c r="A467" s="283"/>
      <c r="B467" s="283"/>
      <c r="C467" s="283"/>
      <c r="D467" s="283"/>
      <c r="E467" s="283"/>
      <c r="F467" s="283"/>
      <c r="G467" s="283"/>
      <c r="H467" s="283"/>
      <c r="I467" s="283"/>
      <c r="J467" s="283"/>
      <c r="K467" s="283"/>
      <c r="L467" s="283"/>
      <c r="M467" s="283"/>
      <c r="N467" s="283"/>
      <c r="O467" s="283"/>
      <c r="P467" s="283"/>
      <c r="Q467" s="283"/>
      <c r="R467" s="283"/>
      <c r="S467" s="283"/>
      <c r="T467" s="283"/>
      <c r="U467" s="283"/>
      <c r="V467" s="283"/>
      <c r="W467" s="283"/>
      <c r="X467" s="283"/>
    </row>
    <row r="468" spans="1:24" ht="13.5" customHeight="1" x14ac:dyDescent="0.2">
      <c r="A468" s="283"/>
      <c r="B468" s="283"/>
      <c r="C468" s="283"/>
      <c r="D468" s="283"/>
      <c r="E468" s="283"/>
      <c r="F468" s="283"/>
      <c r="G468" s="283"/>
      <c r="H468" s="283"/>
      <c r="I468" s="283"/>
      <c r="J468" s="283"/>
      <c r="K468" s="283"/>
      <c r="L468" s="283"/>
      <c r="M468" s="283"/>
      <c r="N468" s="283"/>
      <c r="O468" s="283"/>
      <c r="P468" s="283"/>
      <c r="Q468" s="283"/>
      <c r="R468" s="283"/>
      <c r="S468" s="283"/>
      <c r="T468" s="283"/>
      <c r="U468" s="283"/>
      <c r="V468" s="283"/>
      <c r="W468" s="283"/>
      <c r="X468" s="283"/>
    </row>
    <row r="469" spans="1:24" ht="13.5" customHeight="1" x14ac:dyDescent="0.2">
      <c r="A469" s="283"/>
      <c r="B469" s="283"/>
      <c r="C469" s="283"/>
      <c r="D469" s="283"/>
      <c r="E469" s="283"/>
      <c r="F469" s="283"/>
      <c r="G469" s="283"/>
      <c r="H469" s="283"/>
      <c r="I469" s="283"/>
      <c r="J469" s="283"/>
      <c r="K469" s="283"/>
      <c r="L469" s="283"/>
      <c r="M469" s="283"/>
      <c r="N469" s="283"/>
      <c r="O469" s="283"/>
      <c r="P469" s="283"/>
      <c r="Q469" s="283"/>
      <c r="R469" s="283"/>
      <c r="S469" s="283"/>
      <c r="T469" s="283"/>
      <c r="U469" s="283"/>
      <c r="V469" s="283"/>
      <c r="W469" s="283"/>
      <c r="X469" s="283"/>
    </row>
    <row r="470" spans="1:24" ht="13.5" customHeight="1" x14ac:dyDescent="0.2">
      <c r="A470" s="283"/>
      <c r="B470" s="283"/>
      <c r="C470" s="283"/>
      <c r="D470" s="283"/>
      <c r="E470" s="283"/>
      <c r="F470" s="283"/>
      <c r="G470" s="283"/>
      <c r="H470" s="283"/>
      <c r="I470" s="283"/>
      <c r="J470" s="283"/>
      <c r="K470" s="283"/>
      <c r="L470" s="283"/>
      <c r="M470" s="283"/>
      <c r="N470" s="283"/>
      <c r="O470" s="283"/>
      <c r="P470" s="283"/>
      <c r="Q470" s="283"/>
      <c r="R470" s="283"/>
      <c r="S470" s="283"/>
      <c r="T470" s="283"/>
      <c r="U470" s="283"/>
      <c r="V470" s="283"/>
      <c r="W470" s="283"/>
      <c r="X470" s="283"/>
    </row>
    <row r="471" spans="1:24" ht="13.5" customHeight="1" x14ac:dyDescent="0.2">
      <c r="A471" s="283"/>
      <c r="B471" s="283"/>
      <c r="C471" s="283"/>
      <c r="D471" s="283"/>
      <c r="E471" s="283"/>
      <c r="F471" s="283"/>
      <c r="G471" s="283"/>
      <c r="H471" s="283"/>
      <c r="I471" s="283"/>
      <c r="J471" s="283"/>
      <c r="K471" s="283"/>
      <c r="L471" s="283"/>
      <c r="M471" s="283"/>
      <c r="N471" s="283"/>
      <c r="O471" s="283"/>
      <c r="P471" s="283"/>
      <c r="Q471" s="283"/>
      <c r="R471" s="283"/>
      <c r="S471" s="283"/>
      <c r="T471" s="283"/>
      <c r="U471" s="283"/>
      <c r="V471" s="283"/>
      <c r="W471" s="283"/>
      <c r="X471" s="283"/>
    </row>
    <row r="472" spans="1:24" ht="13.5" customHeight="1" x14ac:dyDescent="0.2">
      <c r="A472" s="283"/>
      <c r="B472" s="283"/>
      <c r="C472" s="283"/>
      <c r="D472" s="283"/>
      <c r="E472" s="283"/>
      <c r="F472" s="283"/>
      <c r="G472" s="283"/>
      <c r="H472" s="283"/>
      <c r="I472" s="283"/>
      <c r="J472" s="283"/>
      <c r="K472" s="283"/>
      <c r="L472" s="283"/>
      <c r="M472" s="283"/>
      <c r="N472" s="283"/>
      <c r="O472" s="283"/>
      <c r="P472" s="283"/>
      <c r="Q472" s="283"/>
      <c r="R472" s="283"/>
      <c r="S472" s="283"/>
      <c r="T472" s="283"/>
      <c r="U472" s="283"/>
      <c r="V472" s="283"/>
      <c r="W472" s="283"/>
      <c r="X472" s="283"/>
    </row>
    <row r="473" spans="1:24" ht="13.5" customHeight="1" x14ac:dyDescent="0.2">
      <c r="A473" s="283"/>
      <c r="B473" s="283"/>
      <c r="C473" s="283"/>
      <c r="D473" s="283"/>
      <c r="E473" s="283"/>
      <c r="F473" s="283"/>
      <c r="G473" s="283"/>
      <c r="H473" s="283"/>
      <c r="I473" s="283"/>
      <c r="J473" s="283"/>
      <c r="K473" s="283"/>
      <c r="L473" s="283"/>
      <c r="M473" s="283"/>
      <c r="N473" s="283"/>
      <c r="O473" s="283"/>
      <c r="P473" s="283"/>
      <c r="Q473" s="283"/>
      <c r="R473" s="283"/>
      <c r="S473" s="283"/>
      <c r="T473" s="283"/>
      <c r="U473" s="283"/>
      <c r="V473" s="283"/>
      <c r="W473" s="283"/>
      <c r="X473" s="283"/>
    </row>
    <row r="474" spans="1:24" ht="13.5" customHeight="1" x14ac:dyDescent="0.2">
      <c r="A474" s="283"/>
      <c r="B474" s="283"/>
      <c r="C474" s="283"/>
      <c r="D474" s="283"/>
      <c r="E474" s="283"/>
      <c r="F474" s="283"/>
      <c r="G474" s="283"/>
      <c r="H474" s="283"/>
      <c r="I474" s="283"/>
      <c r="J474" s="283"/>
      <c r="K474" s="283"/>
      <c r="L474" s="283"/>
      <c r="M474" s="283"/>
      <c r="N474" s="283"/>
      <c r="O474" s="283"/>
      <c r="P474" s="283"/>
      <c r="Q474" s="283"/>
      <c r="R474" s="283"/>
      <c r="S474" s="283"/>
      <c r="T474" s="283"/>
      <c r="U474" s="283"/>
      <c r="V474" s="283"/>
      <c r="W474" s="283"/>
      <c r="X474" s="283"/>
    </row>
    <row r="475" spans="1:24" ht="13.5" customHeight="1" x14ac:dyDescent="0.2">
      <c r="A475" s="283"/>
      <c r="B475" s="283"/>
      <c r="C475" s="283"/>
      <c r="D475" s="283"/>
      <c r="E475" s="283"/>
      <c r="F475" s="283"/>
      <c r="G475" s="283"/>
      <c r="H475" s="283"/>
      <c r="I475" s="283"/>
      <c r="J475" s="283"/>
      <c r="K475" s="283"/>
      <c r="L475" s="283"/>
      <c r="M475" s="283"/>
      <c r="N475" s="283"/>
      <c r="O475" s="283"/>
      <c r="P475" s="283"/>
      <c r="Q475" s="283"/>
      <c r="R475" s="283"/>
      <c r="S475" s="283"/>
      <c r="T475" s="283"/>
      <c r="U475" s="283"/>
      <c r="V475" s="283"/>
      <c r="W475" s="283"/>
      <c r="X475" s="283"/>
    </row>
    <row r="476" spans="1:24" ht="13.5" customHeight="1" x14ac:dyDescent="0.2">
      <c r="A476" s="283"/>
      <c r="B476" s="283"/>
      <c r="C476" s="283"/>
      <c r="D476" s="283"/>
      <c r="E476" s="283"/>
      <c r="F476" s="283"/>
      <c r="G476" s="283"/>
      <c r="H476" s="283"/>
      <c r="I476" s="283"/>
      <c r="J476" s="283"/>
      <c r="K476" s="283"/>
      <c r="L476" s="283"/>
      <c r="M476" s="283"/>
      <c r="N476" s="283"/>
      <c r="O476" s="283"/>
      <c r="P476" s="283"/>
      <c r="Q476" s="283"/>
      <c r="R476" s="283"/>
      <c r="S476" s="283"/>
      <c r="T476" s="283"/>
      <c r="U476" s="283"/>
      <c r="V476" s="283"/>
      <c r="W476" s="283"/>
      <c r="X476" s="283"/>
    </row>
    <row r="477" spans="1:24" ht="13.5" customHeight="1" x14ac:dyDescent="0.2">
      <c r="A477" s="283"/>
      <c r="B477" s="283"/>
      <c r="C477" s="283"/>
      <c r="D477" s="283"/>
      <c r="E477" s="283"/>
      <c r="F477" s="283"/>
      <c r="G477" s="283"/>
      <c r="H477" s="283"/>
      <c r="I477" s="283"/>
      <c r="J477" s="283"/>
      <c r="K477" s="283"/>
      <c r="L477" s="283"/>
      <c r="M477" s="283"/>
      <c r="N477" s="283"/>
      <c r="O477" s="283"/>
      <c r="P477" s="283"/>
      <c r="Q477" s="283"/>
      <c r="R477" s="283"/>
      <c r="S477" s="283"/>
      <c r="T477" s="283"/>
      <c r="U477" s="283"/>
      <c r="V477" s="283"/>
      <c r="W477" s="283"/>
      <c r="X477" s="283"/>
    </row>
    <row r="478" spans="1:24" ht="13.5" customHeight="1" x14ac:dyDescent="0.2">
      <c r="A478" s="283"/>
      <c r="B478" s="283"/>
      <c r="C478" s="283"/>
      <c r="D478" s="283"/>
      <c r="E478" s="283"/>
      <c r="F478" s="283"/>
      <c r="G478" s="283"/>
      <c r="H478" s="283"/>
      <c r="I478" s="283"/>
      <c r="J478" s="283"/>
      <c r="K478" s="283"/>
      <c r="L478" s="283"/>
      <c r="M478" s="283"/>
      <c r="N478" s="283"/>
      <c r="O478" s="283"/>
      <c r="P478" s="283"/>
      <c r="Q478" s="283"/>
      <c r="R478" s="283"/>
      <c r="S478" s="283"/>
      <c r="T478" s="283"/>
      <c r="U478" s="283"/>
      <c r="V478" s="283"/>
      <c r="W478" s="283"/>
      <c r="X478" s="283"/>
    </row>
    <row r="479" spans="1:24" ht="13.5" customHeight="1" x14ac:dyDescent="0.2">
      <c r="A479" s="283"/>
      <c r="B479" s="283"/>
      <c r="C479" s="283"/>
      <c r="D479" s="283"/>
      <c r="E479" s="283"/>
      <c r="F479" s="283"/>
      <c r="G479" s="283"/>
      <c r="H479" s="283"/>
      <c r="I479" s="283"/>
      <c r="J479" s="283"/>
      <c r="K479" s="283"/>
      <c r="L479" s="283"/>
      <c r="M479" s="283"/>
      <c r="N479" s="283"/>
      <c r="O479" s="283"/>
      <c r="P479" s="283"/>
      <c r="Q479" s="283"/>
      <c r="R479" s="283"/>
      <c r="S479" s="283"/>
      <c r="T479" s="283"/>
      <c r="U479" s="283"/>
      <c r="V479" s="283"/>
      <c r="W479" s="283"/>
      <c r="X479" s="283"/>
    </row>
    <row r="480" spans="1:24" ht="13.5" customHeight="1" x14ac:dyDescent="0.2">
      <c r="A480" s="283"/>
      <c r="B480" s="283"/>
      <c r="C480" s="283"/>
      <c r="D480" s="283"/>
      <c r="E480" s="283"/>
      <c r="F480" s="283"/>
      <c r="G480" s="283"/>
      <c r="H480" s="283"/>
      <c r="I480" s="283"/>
      <c r="J480" s="283"/>
      <c r="K480" s="283"/>
      <c r="L480" s="283"/>
      <c r="M480" s="283"/>
      <c r="N480" s="283"/>
      <c r="O480" s="283"/>
      <c r="P480" s="283"/>
      <c r="Q480" s="283"/>
      <c r="R480" s="283"/>
      <c r="S480" s="283"/>
      <c r="T480" s="283"/>
      <c r="U480" s="283"/>
      <c r="V480" s="283"/>
      <c r="W480" s="283"/>
      <c r="X480" s="283"/>
    </row>
    <row r="481" spans="1:24" ht="13.5" customHeight="1" x14ac:dyDescent="0.2">
      <c r="A481" s="283"/>
      <c r="B481" s="283"/>
      <c r="C481" s="283"/>
      <c r="D481" s="283"/>
      <c r="E481" s="283"/>
      <c r="F481" s="283"/>
      <c r="G481" s="283"/>
      <c r="H481" s="283"/>
      <c r="I481" s="283"/>
      <c r="J481" s="283"/>
      <c r="K481" s="283"/>
      <c r="L481" s="283"/>
      <c r="M481" s="283"/>
      <c r="N481" s="283"/>
      <c r="O481" s="283"/>
      <c r="P481" s="283"/>
      <c r="Q481" s="283"/>
      <c r="R481" s="283"/>
      <c r="S481" s="283"/>
      <c r="T481" s="283"/>
      <c r="U481" s="283"/>
      <c r="V481" s="283"/>
      <c r="W481" s="283"/>
      <c r="X481" s="283"/>
    </row>
    <row r="482" spans="1:24" ht="13.5" customHeight="1" x14ac:dyDescent="0.2">
      <c r="A482" s="283"/>
      <c r="B482" s="283"/>
      <c r="C482" s="283"/>
      <c r="D482" s="283"/>
      <c r="E482" s="283"/>
      <c r="F482" s="283"/>
      <c r="G482" s="283"/>
      <c r="H482" s="283"/>
      <c r="I482" s="283"/>
      <c r="J482" s="283"/>
      <c r="K482" s="283"/>
      <c r="L482" s="283"/>
      <c r="M482" s="283"/>
      <c r="N482" s="283"/>
      <c r="O482" s="283"/>
      <c r="P482" s="283"/>
      <c r="Q482" s="283"/>
      <c r="R482" s="283"/>
      <c r="S482" s="283"/>
      <c r="T482" s="283"/>
      <c r="U482" s="283"/>
      <c r="V482" s="283"/>
      <c r="W482" s="283"/>
      <c r="X482" s="283"/>
    </row>
    <row r="483" spans="1:24" ht="13.5" customHeight="1" x14ac:dyDescent="0.2">
      <c r="A483" s="283"/>
      <c r="B483" s="283"/>
      <c r="C483" s="283"/>
      <c r="D483" s="283"/>
      <c r="E483" s="283"/>
      <c r="F483" s="283"/>
      <c r="G483" s="283"/>
      <c r="H483" s="283"/>
      <c r="I483" s="283"/>
      <c r="J483" s="283"/>
      <c r="K483" s="283"/>
      <c r="L483" s="283"/>
      <c r="M483" s="283"/>
      <c r="N483" s="283"/>
      <c r="O483" s="283"/>
      <c r="P483" s="283"/>
      <c r="Q483" s="283"/>
      <c r="R483" s="283"/>
      <c r="S483" s="283"/>
      <c r="T483" s="283"/>
      <c r="U483" s="283"/>
      <c r="V483" s="283"/>
      <c r="W483" s="283"/>
      <c r="X483" s="283"/>
    </row>
    <row r="484" spans="1:24" ht="13.5" customHeight="1" x14ac:dyDescent="0.2">
      <c r="A484" s="283"/>
      <c r="B484" s="283"/>
      <c r="C484" s="283"/>
      <c r="D484" s="283"/>
      <c r="E484" s="283"/>
      <c r="F484" s="283"/>
      <c r="G484" s="283"/>
      <c r="H484" s="283"/>
      <c r="I484" s="283"/>
      <c r="J484" s="283"/>
      <c r="K484" s="283"/>
      <c r="L484" s="283"/>
      <c r="M484" s="283"/>
      <c r="N484" s="283"/>
      <c r="O484" s="283"/>
      <c r="P484" s="283"/>
      <c r="Q484" s="283"/>
      <c r="R484" s="283"/>
      <c r="S484" s="283"/>
      <c r="T484" s="283"/>
      <c r="U484" s="283"/>
      <c r="V484" s="283"/>
      <c r="W484" s="283"/>
      <c r="X484" s="283"/>
    </row>
    <row r="485" spans="1:24" ht="13.5" customHeight="1" x14ac:dyDescent="0.2">
      <c r="A485" s="283"/>
      <c r="B485" s="283"/>
      <c r="C485" s="283"/>
      <c r="D485" s="283"/>
      <c r="E485" s="283"/>
      <c r="F485" s="283"/>
      <c r="G485" s="283"/>
      <c r="H485" s="283"/>
      <c r="I485" s="283"/>
      <c r="J485" s="283"/>
      <c r="K485" s="283"/>
      <c r="L485" s="283"/>
      <c r="M485" s="283"/>
      <c r="N485" s="283"/>
      <c r="O485" s="283"/>
      <c r="P485" s="283"/>
      <c r="Q485" s="283"/>
      <c r="R485" s="283"/>
      <c r="S485" s="283"/>
      <c r="T485" s="283"/>
      <c r="U485" s="283"/>
      <c r="V485" s="283"/>
      <c r="W485" s="283"/>
      <c r="X485" s="283"/>
    </row>
    <row r="486" spans="1:24" ht="13.5" customHeight="1" x14ac:dyDescent="0.2">
      <c r="A486" s="283"/>
      <c r="B486" s="283"/>
      <c r="C486" s="283"/>
      <c r="D486" s="283"/>
      <c r="E486" s="283"/>
      <c r="F486" s="283"/>
      <c r="G486" s="283"/>
      <c r="H486" s="283"/>
      <c r="I486" s="283"/>
      <c r="J486" s="283"/>
      <c r="K486" s="283"/>
      <c r="L486" s="283"/>
      <c r="M486" s="283"/>
      <c r="N486" s="283"/>
      <c r="O486" s="283"/>
      <c r="P486" s="283"/>
      <c r="Q486" s="283"/>
      <c r="R486" s="283"/>
      <c r="S486" s="283"/>
      <c r="T486" s="283"/>
      <c r="U486" s="283"/>
      <c r="V486" s="283"/>
      <c r="W486" s="283"/>
      <c r="X486" s="283"/>
    </row>
    <row r="487" spans="1:24" ht="13.5" customHeight="1" x14ac:dyDescent="0.2">
      <c r="A487" s="283"/>
      <c r="B487" s="283"/>
      <c r="C487" s="283"/>
      <c r="D487" s="283"/>
      <c r="E487" s="283"/>
      <c r="F487" s="283"/>
      <c r="G487" s="283"/>
      <c r="H487" s="283"/>
      <c r="I487" s="283"/>
      <c r="J487" s="283"/>
      <c r="K487" s="283"/>
      <c r="L487" s="283"/>
      <c r="M487" s="283"/>
      <c r="N487" s="283"/>
      <c r="O487" s="283"/>
      <c r="P487" s="283"/>
      <c r="Q487" s="283"/>
      <c r="R487" s="283"/>
      <c r="S487" s="283"/>
      <c r="T487" s="283"/>
      <c r="U487" s="283"/>
      <c r="V487" s="283"/>
      <c r="W487" s="283"/>
      <c r="X487" s="283"/>
    </row>
    <row r="488" spans="1:24" ht="13.5" customHeight="1" x14ac:dyDescent="0.2">
      <c r="A488" s="283"/>
      <c r="B488" s="283"/>
      <c r="C488" s="283"/>
      <c r="D488" s="283"/>
      <c r="E488" s="283"/>
      <c r="F488" s="283"/>
      <c r="G488" s="283"/>
      <c r="H488" s="283"/>
      <c r="I488" s="283"/>
      <c r="J488" s="283"/>
      <c r="K488" s="283"/>
      <c r="L488" s="283"/>
      <c r="M488" s="283"/>
      <c r="N488" s="283"/>
      <c r="O488" s="283"/>
      <c r="P488" s="283"/>
      <c r="Q488" s="283"/>
      <c r="R488" s="283"/>
      <c r="S488" s="283"/>
      <c r="T488" s="283"/>
      <c r="U488" s="283"/>
      <c r="V488" s="283"/>
      <c r="W488" s="283"/>
      <c r="X488" s="283"/>
    </row>
    <row r="489" spans="1:24" ht="13.5" customHeight="1" x14ac:dyDescent="0.2">
      <c r="A489" s="283"/>
      <c r="B489" s="283"/>
      <c r="C489" s="283"/>
      <c r="D489" s="283"/>
      <c r="E489" s="283"/>
      <c r="F489" s="283"/>
      <c r="G489" s="283"/>
      <c r="H489" s="283"/>
      <c r="I489" s="283"/>
      <c r="J489" s="283"/>
      <c r="K489" s="283"/>
      <c r="L489" s="283"/>
      <c r="M489" s="283"/>
      <c r="N489" s="283"/>
      <c r="O489" s="283"/>
      <c r="P489" s="283"/>
      <c r="Q489" s="283"/>
      <c r="R489" s="283"/>
      <c r="S489" s="283"/>
      <c r="T489" s="283"/>
      <c r="U489" s="283"/>
      <c r="V489" s="283"/>
      <c r="W489" s="283"/>
      <c r="X489" s="283"/>
    </row>
    <row r="490" spans="1:24" ht="13.5" customHeight="1" x14ac:dyDescent="0.2">
      <c r="A490" s="283"/>
      <c r="B490" s="283"/>
      <c r="C490" s="283"/>
      <c r="D490" s="283"/>
      <c r="E490" s="283"/>
      <c r="F490" s="283"/>
      <c r="G490" s="283"/>
      <c r="H490" s="283"/>
      <c r="I490" s="283"/>
      <c r="J490" s="283"/>
      <c r="K490" s="283"/>
      <c r="L490" s="283"/>
      <c r="M490" s="283"/>
      <c r="N490" s="283"/>
      <c r="O490" s="283"/>
      <c r="P490" s="283"/>
      <c r="Q490" s="283"/>
      <c r="R490" s="283"/>
      <c r="S490" s="283"/>
      <c r="T490" s="283"/>
      <c r="U490" s="283"/>
      <c r="V490" s="283"/>
      <c r="W490" s="283"/>
      <c r="X490" s="283"/>
    </row>
    <row r="491" spans="1:24" ht="13.5" customHeight="1" x14ac:dyDescent="0.2">
      <c r="A491" s="283"/>
      <c r="B491" s="283"/>
      <c r="C491" s="283"/>
      <c r="D491" s="283"/>
      <c r="E491" s="283"/>
      <c r="F491" s="283"/>
      <c r="G491" s="283"/>
      <c r="H491" s="283"/>
      <c r="I491" s="283"/>
      <c r="J491" s="283"/>
      <c r="K491" s="283"/>
      <c r="L491" s="283"/>
      <c r="M491" s="283"/>
      <c r="N491" s="283"/>
      <c r="O491" s="283"/>
      <c r="P491" s="283"/>
      <c r="Q491" s="283"/>
      <c r="R491" s="283"/>
      <c r="S491" s="283"/>
      <c r="T491" s="283"/>
      <c r="U491" s="283"/>
      <c r="V491" s="283"/>
      <c r="W491" s="283"/>
      <c r="X491" s="283"/>
    </row>
    <row r="492" spans="1:24" ht="13.5" customHeight="1" x14ac:dyDescent="0.2">
      <c r="A492" s="283"/>
      <c r="B492" s="283"/>
      <c r="C492" s="283"/>
      <c r="D492" s="283"/>
      <c r="E492" s="283"/>
      <c r="F492" s="283"/>
      <c r="G492" s="283"/>
      <c r="H492" s="283"/>
      <c r="I492" s="283"/>
      <c r="J492" s="283"/>
      <c r="K492" s="283"/>
      <c r="L492" s="283"/>
      <c r="M492" s="283"/>
      <c r="N492" s="283"/>
      <c r="O492" s="283"/>
      <c r="P492" s="283"/>
      <c r="Q492" s="283"/>
      <c r="R492" s="283"/>
      <c r="S492" s="283"/>
      <c r="T492" s="283"/>
      <c r="U492" s="283"/>
      <c r="V492" s="283"/>
      <c r="W492" s="283"/>
      <c r="X492" s="283"/>
    </row>
    <row r="493" spans="1:24" ht="13.5" customHeight="1" x14ac:dyDescent="0.2">
      <c r="A493" s="283"/>
      <c r="B493" s="283"/>
      <c r="C493" s="283"/>
      <c r="D493" s="283"/>
      <c r="E493" s="283"/>
      <c r="F493" s="283"/>
      <c r="G493" s="283"/>
      <c r="H493" s="283"/>
      <c r="I493" s="283"/>
      <c r="J493" s="283"/>
      <c r="K493" s="283"/>
      <c r="L493" s="283"/>
      <c r="M493" s="283"/>
      <c r="N493" s="283"/>
      <c r="O493" s="283"/>
      <c r="P493" s="283"/>
      <c r="Q493" s="283"/>
      <c r="R493" s="283"/>
      <c r="S493" s="283"/>
      <c r="T493" s="283"/>
      <c r="U493" s="283"/>
      <c r="V493" s="283"/>
      <c r="W493" s="283"/>
      <c r="X493" s="283"/>
    </row>
    <row r="494" spans="1:24" ht="13.5" customHeight="1" x14ac:dyDescent="0.2">
      <c r="A494" s="283"/>
      <c r="B494" s="283"/>
      <c r="C494" s="283"/>
      <c r="D494" s="283"/>
      <c r="E494" s="283"/>
      <c r="F494" s="283"/>
      <c r="G494" s="283"/>
      <c r="H494" s="283"/>
      <c r="I494" s="283"/>
      <c r="J494" s="283"/>
      <c r="K494" s="283"/>
      <c r="L494" s="283"/>
      <c r="M494" s="283"/>
      <c r="N494" s="283"/>
      <c r="O494" s="283"/>
      <c r="P494" s="283"/>
      <c r="Q494" s="283"/>
      <c r="R494" s="283"/>
      <c r="S494" s="283"/>
      <c r="T494" s="283"/>
      <c r="U494" s="283"/>
      <c r="V494" s="283"/>
      <c r="W494" s="283"/>
      <c r="X494" s="283"/>
    </row>
    <row r="495" spans="1:24" ht="13.5" customHeight="1" x14ac:dyDescent="0.2">
      <c r="A495" s="283"/>
      <c r="B495" s="283"/>
      <c r="C495" s="283"/>
      <c r="D495" s="283"/>
      <c r="E495" s="283"/>
      <c r="F495" s="283"/>
      <c r="G495" s="283"/>
      <c r="H495" s="283"/>
      <c r="I495" s="283"/>
      <c r="J495" s="283"/>
      <c r="K495" s="283"/>
      <c r="L495" s="283"/>
      <c r="M495" s="283"/>
      <c r="N495" s="283"/>
      <c r="O495" s="283"/>
      <c r="P495" s="283"/>
      <c r="Q495" s="283"/>
      <c r="R495" s="283"/>
      <c r="S495" s="283"/>
      <c r="T495" s="283"/>
      <c r="U495" s="283"/>
      <c r="V495" s="283"/>
      <c r="W495" s="283"/>
      <c r="X495" s="283"/>
    </row>
    <row r="496" spans="1:24" ht="13.5" customHeight="1" x14ac:dyDescent="0.2">
      <c r="A496" s="283"/>
      <c r="B496" s="283"/>
      <c r="C496" s="283"/>
      <c r="D496" s="283"/>
      <c r="E496" s="283"/>
      <c r="F496" s="283"/>
      <c r="G496" s="283"/>
      <c r="H496" s="283"/>
      <c r="I496" s="283"/>
      <c r="J496" s="283"/>
      <c r="K496" s="283"/>
      <c r="L496" s="283"/>
      <c r="M496" s="283"/>
      <c r="N496" s="283"/>
      <c r="O496" s="283"/>
      <c r="P496" s="283"/>
      <c r="Q496" s="283"/>
      <c r="R496" s="283"/>
      <c r="S496" s="283"/>
      <c r="T496" s="283"/>
      <c r="U496" s="283"/>
      <c r="V496" s="283"/>
      <c r="W496" s="283"/>
      <c r="X496" s="283"/>
    </row>
    <row r="497" spans="1:24" ht="13.5" customHeight="1" x14ac:dyDescent="0.2">
      <c r="A497" s="283"/>
      <c r="B497" s="283"/>
      <c r="C497" s="283"/>
      <c r="D497" s="283"/>
      <c r="E497" s="283"/>
      <c r="F497" s="283"/>
      <c r="G497" s="283"/>
      <c r="H497" s="283"/>
      <c r="I497" s="283"/>
      <c r="J497" s="283"/>
      <c r="K497" s="283"/>
      <c r="L497" s="283"/>
      <c r="M497" s="283"/>
      <c r="N497" s="283"/>
      <c r="O497" s="283"/>
      <c r="P497" s="283"/>
      <c r="Q497" s="283"/>
      <c r="R497" s="283"/>
      <c r="S497" s="283"/>
      <c r="T497" s="283"/>
      <c r="U497" s="283"/>
      <c r="V497" s="283"/>
      <c r="W497" s="283"/>
      <c r="X497" s="283"/>
    </row>
    <row r="498" spans="1:24" ht="13.5" customHeight="1" x14ac:dyDescent="0.2">
      <c r="A498" s="283"/>
      <c r="B498" s="283"/>
      <c r="C498" s="283"/>
      <c r="D498" s="283"/>
      <c r="E498" s="283"/>
      <c r="F498" s="283"/>
      <c r="G498" s="283"/>
      <c r="H498" s="283"/>
      <c r="I498" s="283"/>
      <c r="J498" s="283"/>
      <c r="K498" s="283"/>
      <c r="L498" s="283"/>
      <c r="M498" s="283"/>
      <c r="N498" s="283"/>
      <c r="O498" s="283"/>
      <c r="P498" s="283"/>
      <c r="Q498" s="283"/>
      <c r="R498" s="283"/>
      <c r="S498" s="283"/>
      <c r="T498" s="283"/>
      <c r="U498" s="283"/>
      <c r="V498" s="283"/>
      <c r="W498" s="283"/>
      <c r="X498" s="283"/>
    </row>
    <row r="499" spans="1:24" ht="13.5" customHeight="1" x14ac:dyDescent="0.2">
      <c r="A499" s="283"/>
      <c r="B499" s="283"/>
      <c r="C499" s="283"/>
      <c r="D499" s="283"/>
      <c r="E499" s="283"/>
      <c r="F499" s="283"/>
      <c r="G499" s="283"/>
      <c r="H499" s="283"/>
      <c r="I499" s="283"/>
      <c r="J499" s="283"/>
      <c r="K499" s="283"/>
      <c r="L499" s="283"/>
      <c r="M499" s="283"/>
      <c r="N499" s="283"/>
      <c r="O499" s="283"/>
      <c r="P499" s="283"/>
      <c r="Q499" s="283"/>
      <c r="R499" s="283"/>
      <c r="S499" s="283"/>
      <c r="T499" s="283"/>
      <c r="U499" s="283"/>
      <c r="V499" s="283"/>
      <c r="W499" s="283"/>
      <c r="X499" s="283"/>
    </row>
    <row r="500" spans="1:24" ht="13.5" customHeight="1" x14ac:dyDescent="0.2">
      <c r="A500" s="283"/>
      <c r="B500" s="283"/>
      <c r="C500" s="283"/>
      <c r="D500" s="283"/>
      <c r="E500" s="283"/>
      <c r="F500" s="283"/>
      <c r="G500" s="283"/>
      <c r="H500" s="283"/>
      <c r="I500" s="283"/>
      <c r="J500" s="283"/>
      <c r="K500" s="283"/>
      <c r="L500" s="283"/>
      <c r="M500" s="283"/>
      <c r="N500" s="283"/>
      <c r="O500" s="283"/>
      <c r="P500" s="283"/>
      <c r="Q500" s="283"/>
      <c r="R500" s="283"/>
      <c r="S500" s="283"/>
      <c r="T500" s="283"/>
      <c r="U500" s="283"/>
      <c r="V500" s="283"/>
      <c r="W500" s="283"/>
      <c r="X500" s="283"/>
    </row>
    <row r="501" spans="1:24" ht="13.5" customHeight="1" x14ac:dyDescent="0.2">
      <c r="A501" s="283"/>
      <c r="B501" s="283"/>
      <c r="C501" s="283"/>
      <c r="D501" s="283"/>
      <c r="E501" s="283"/>
      <c r="F501" s="283"/>
      <c r="G501" s="283"/>
      <c r="H501" s="283"/>
      <c r="I501" s="283"/>
      <c r="J501" s="283"/>
      <c r="K501" s="283"/>
      <c r="L501" s="283"/>
      <c r="M501" s="283"/>
      <c r="N501" s="283"/>
      <c r="O501" s="283"/>
      <c r="P501" s="283"/>
      <c r="Q501" s="283"/>
      <c r="R501" s="283"/>
      <c r="S501" s="283"/>
      <c r="T501" s="283"/>
      <c r="U501" s="283"/>
      <c r="V501" s="283"/>
      <c r="W501" s="283"/>
      <c r="X501" s="283"/>
    </row>
    <row r="502" spans="1:24" ht="13.5" customHeight="1" x14ac:dyDescent="0.2">
      <c r="A502" s="283"/>
      <c r="B502" s="283"/>
      <c r="C502" s="283"/>
      <c r="D502" s="283"/>
      <c r="E502" s="283"/>
      <c r="F502" s="283"/>
      <c r="G502" s="283"/>
      <c r="H502" s="283"/>
      <c r="I502" s="283"/>
      <c r="J502" s="283"/>
      <c r="K502" s="283"/>
      <c r="L502" s="283"/>
      <c r="M502" s="283"/>
      <c r="N502" s="283"/>
      <c r="O502" s="283"/>
      <c r="P502" s="283"/>
      <c r="Q502" s="283"/>
      <c r="R502" s="283"/>
      <c r="S502" s="283"/>
      <c r="T502" s="283"/>
      <c r="U502" s="283"/>
      <c r="V502" s="283"/>
      <c r="W502" s="283"/>
      <c r="X502" s="283"/>
    </row>
    <row r="503" spans="1:24" ht="13.5" customHeight="1" x14ac:dyDescent="0.2">
      <c r="A503" s="283"/>
      <c r="B503" s="283"/>
      <c r="C503" s="283"/>
      <c r="D503" s="283"/>
      <c r="E503" s="283"/>
      <c r="F503" s="283"/>
      <c r="G503" s="283"/>
      <c r="H503" s="283"/>
      <c r="I503" s="283"/>
      <c r="J503" s="283"/>
      <c r="K503" s="283"/>
      <c r="L503" s="283"/>
      <c r="M503" s="283"/>
      <c r="N503" s="283"/>
      <c r="O503" s="283"/>
      <c r="P503" s="283"/>
      <c r="Q503" s="283"/>
      <c r="R503" s="283"/>
      <c r="S503" s="283"/>
      <c r="T503" s="283"/>
      <c r="U503" s="283"/>
      <c r="V503" s="283"/>
      <c r="W503" s="283"/>
      <c r="X503" s="283"/>
    </row>
    <row r="504" spans="1:24" ht="13.5" customHeight="1" x14ac:dyDescent="0.2">
      <c r="A504" s="283"/>
      <c r="B504" s="283"/>
      <c r="C504" s="283"/>
      <c r="D504" s="283"/>
      <c r="E504" s="283"/>
      <c r="F504" s="283"/>
      <c r="G504" s="283"/>
      <c r="H504" s="283"/>
      <c r="I504" s="283"/>
      <c r="J504" s="283"/>
      <c r="K504" s="283"/>
      <c r="L504" s="283"/>
      <c r="M504" s="283"/>
      <c r="N504" s="283"/>
      <c r="O504" s="283"/>
      <c r="P504" s="283"/>
      <c r="Q504" s="283"/>
      <c r="R504" s="283"/>
      <c r="S504" s="283"/>
      <c r="T504" s="283"/>
      <c r="U504" s="283"/>
      <c r="V504" s="283"/>
      <c r="W504" s="283"/>
      <c r="X504" s="283"/>
    </row>
    <row r="505" spans="1:24" ht="13.5" customHeight="1" x14ac:dyDescent="0.2">
      <c r="A505" s="283"/>
      <c r="B505" s="283"/>
      <c r="C505" s="283"/>
      <c r="D505" s="283"/>
      <c r="E505" s="283"/>
      <c r="F505" s="283"/>
      <c r="G505" s="283"/>
      <c r="H505" s="283"/>
      <c r="I505" s="283"/>
      <c r="J505" s="283"/>
      <c r="K505" s="283"/>
      <c r="L505" s="283"/>
      <c r="M505" s="283"/>
      <c r="N505" s="283"/>
      <c r="O505" s="283"/>
      <c r="P505" s="283"/>
      <c r="Q505" s="283"/>
      <c r="R505" s="283"/>
      <c r="S505" s="283"/>
      <c r="T505" s="283"/>
      <c r="U505" s="283"/>
      <c r="V505" s="283"/>
      <c r="W505" s="283"/>
      <c r="X505" s="283"/>
    </row>
    <row r="506" spans="1:24" ht="13.5" customHeight="1" x14ac:dyDescent="0.2">
      <c r="A506" s="283"/>
      <c r="B506" s="283"/>
      <c r="C506" s="283"/>
      <c r="D506" s="283"/>
      <c r="E506" s="283"/>
      <c r="F506" s="283"/>
      <c r="G506" s="283"/>
      <c r="H506" s="283"/>
      <c r="I506" s="283"/>
      <c r="J506" s="283"/>
      <c r="K506" s="283"/>
      <c r="L506" s="283"/>
      <c r="M506" s="283"/>
      <c r="N506" s="283"/>
      <c r="O506" s="283"/>
      <c r="P506" s="283"/>
      <c r="Q506" s="283"/>
      <c r="R506" s="283"/>
      <c r="S506" s="283"/>
      <c r="T506" s="283"/>
      <c r="U506" s="283"/>
      <c r="V506" s="283"/>
      <c r="W506" s="283"/>
      <c r="X506" s="283"/>
    </row>
    <row r="507" spans="1:24" ht="13.5" customHeight="1" x14ac:dyDescent="0.2">
      <c r="A507" s="283"/>
      <c r="B507" s="283"/>
      <c r="C507" s="283"/>
      <c r="D507" s="283"/>
      <c r="E507" s="283"/>
      <c r="F507" s="283"/>
      <c r="G507" s="283"/>
      <c r="H507" s="283"/>
      <c r="I507" s="283"/>
      <c r="J507" s="283"/>
      <c r="K507" s="283"/>
      <c r="L507" s="283"/>
      <c r="M507" s="283"/>
      <c r="N507" s="283"/>
      <c r="O507" s="283"/>
      <c r="P507" s="283"/>
      <c r="Q507" s="283"/>
      <c r="R507" s="283"/>
      <c r="S507" s="283"/>
      <c r="T507" s="283"/>
      <c r="U507" s="283"/>
      <c r="V507" s="283"/>
      <c r="W507" s="283"/>
      <c r="X507" s="283"/>
    </row>
    <row r="508" spans="1:24" ht="13.5" customHeight="1" x14ac:dyDescent="0.2">
      <c r="A508" s="283"/>
      <c r="B508" s="283"/>
      <c r="C508" s="283"/>
      <c r="D508" s="283"/>
      <c r="E508" s="283"/>
      <c r="F508" s="283"/>
      <c r="G508" s="283"/>
      <c r="H508" s="283"/>
      <c r="I508" s="283"/>
      <c r="J508" s="283"/>
      <c r="K508" s="283"/>
      <c r="L508" s="283"/>
      <c r="M508" s="283"/>
      <c r="N508" s="283"/>
      <c r="O508" s="283"/>
      <c r="P508" s="283"/>
      <c r="Q508" s="283"/>
      <c r="R508" s="283"/>
      <c r="S508" s="283"/>
      <c r="T508" s="283"/>
      <c r="U508" s="283"/>
      <c r="V508" s="283"/>
      <c r="W508" s="283"/>
      <c r="X508" s="283"/>
    </row>
    <row r="509" spans="1:24" ht="13.5" customHeight="1" x14ac:dyDescent="0.2">
      <c r="A509" s="283"/>
      <c r="B509" s="283"/>
      <c r="C509" s="283"/>
      <c r="D509" s="283"/>
      <c r="E509" s="283"/>
      <c r="F509" s="283"/>
      <c r="G509" s="283"/>
      <c r="H509" s="283"/>
      <c r="I509" s="283"/>
      <c r="J509" s="283"/>
      <c r="K509" s="283"/>
      <c r="L509" s="283"/>
      <c r="M509" s="283"/>
      <c r="N509" s="283"/>
      <c r="O509" s="283"/>
      <c r="P509" s="283"/>
      <c r="Q509" s="283"/>
      <c r="R509" s="283"/>
      <c r="S509" s="283"/>
      <c r="T509" s="283"/>
      <c r="U509" s="283"/>
      <c r="V509" s="283"/>
      <c r="W509" s="283"/>
      <c r="X509" s="283"/>
    </row>
    <row r="510" spans="1:24" ht="13.5" customHeight="1" x14ac:dyDescent="0.2">
      <c r="A510" s="283"/>
      <c r="B510" s="283"/>
      <c r="C510" s="283"/>
      <c r="D510" s="283"/>
      <c r="E510" s="283"/>
      <c r="F510" s="283"/>
      <c r="G510" s="283"/>
      <c r="H510" s="283"/>
      <c r="I510" s="283"/>
      <c r="J510" s="283"/>
      <c r="K510" s="283"/>
      <c r="L510" s="283"/>
      <c r="M510" s="283"/>
      <c r="N510" s="283"/>
      <c r="O510" s="283"/>
      <c r="P510" s="283"/>
      <c r="Q510" s="283"/>
      <c r="R510" s="283"/>
      <c r="S510" s="283"/>
      <c r="T510" s="283"/>
      <c r="U510" s="283"/>
      <c r="V510" s="283"/>
      <c r="W510" s="283"/>
      <c r="X510" s="283"/>
    </row>
    <row r="511" spans="1:24" ht="13.5" customHeight="1" x14ac:dyDescent="0.2">
      <c r="A511" s="283"/>
      <c r="B511" s="283"/>
      <c r="C511" s="283"/>
      <c r="D511" s="283"/>
      <c r="E511" s="283"/>
      <c r="F511" s="283"/>
      <c r="G511" s="283"/>
      <c r="H511" s="283"/>
      <c r="I511" s="283"/>
      <c r="J511" s="283"/>
      <c r="K511" s="283"/>
      <c r="L511" s="283"/>
      <c r="M511" s="283"/>
      <c r="N511" s="283"/>
      <c r="O511" s="283"/>
      <c r="P511" s="283"/>
      <c r="Q511" s="283"/>
      <c r="R511" s="283"/>
      <c r="S511" s="283"/>
      <c r="T511" s="283"/>
      <c r="U511" s="283"/>
      <c r="V511" s="283"/>
      <c r="W511" s="283"/>
      <c r="X511" s="283"/>
    </row>
    <row r="512" spans="1:24" ht="13.5" customHeight="1" x14ac:dyDescent="0.2">
      <c r="A512" s="283"/>
      <c r="B512" s="283"/>
      <c r="C512" s="283"/>
      <c r="D512" s="283"/>
      <c r="E512" s="283"/>
      <c r="F512" s="283"/>
      <c r="G512" s="283"/>
      <c r="H512" s="283"/>
      <c r="I512" s="283"/>
      <c r="J512" s="283"/>
      <c r="K512" s="283"/>
      <c r="L512" s="283"/>
      <c r="M512" s="283"/>
      <c r="N512" s="283"/>
      <c r="O512" s="283"/>
      <c r="P512" s="283"/>
      <c r="Q512" s="283"/>
      <c r="R512" s="283"/>
      <c r="S512" s="283"/>
      <c r="T512" s="283"/>
      <c r="U512" s="283"/>
      <c r="V512" s="283"/>
      <c r="W512" s="283"/>
      <c r="X512" s="283"/>
    </row>
    <row r="513" spans="1:24" ht="13.5" customHeight="1" x14ac:dyDescent="0.2">
      <c r="A513" s="283"/>
      <c r="B513" s="283"/>
      <c r="C513" s="283"/>
      <c r="D513" s="283"/>
      <c r="E513" s="283"/>
      <c r="F513" s="283"/>
      <c r="G513" s="283"/>
      <c r="H513" s="283"/>
      <c r="I513" s="283"/>
      <c r="J513" s="283"/>
      <c r="K513" s="283"/>
      <c r="L513" s="283"/>
      <c r="M513" s="283"/>
      <c r="N513" s="283"/>
      <c r="O513" s="283"/>
      <c r="P513" s="283"/>
      <c r="Q513" s="283"/>
      <c r="R513" s="283"/>
      <c r="S513" s="283"/>
      <c r="T513" s="283"/>
      <c r="U513" s="283"/>
      <c r="V513" s="283"/>
      <c r="W513" s="283"/>
      <c r="X513" s="283"/>
    </row>
    <row r="514" spans="1:24" ht="13.5" customHeight="1" x14ac:dyDescent="0.2">
      <c r="A514" s="283"/>
      <c r="B514" s="283"/>
      <c r="C514" s="283"/>
      <c r="D514" s="283"/>
      <c r="E514" s="283"/>
      <c r="F514" s="283"/>
      <c r="G514" s="283"/>
      <c r="H514" s="283"/>
      <c r="I514" s="283"/>
      <c r="J514" s="283"/>
      <c r="K514" s="283"/>
      <c r="L514" s="283"/>
      <c r="M514" s="283"/>
      <c r="N514" s="283"/>
      <c r="O514" s="283"/>
      <c r="P514" s="283"/>
      <c r="Q514" s="283"/>
      <c r="R514" s="283"/>
      <c r="S514" s="283"/>
      <c r="T514" s="283"/>
      <c r="U514" s="283"/>
      <c r="V514" s="283"/>
      <c r="W514" s="283"/>
      <c r="X514" s="283"/>
    </row>
    <row r="515" spans="1:24" ht="13.5" customHeight="1" x14ac:dyDescent="0.2">
      <c r="A515" s="283"/>
      <c r="B515" s="283"/>
      <c r="C515" s="283"/>
      <c r="D515" s="283"/>
      <c r="E515" s="283"/>
      <c r="F515" s="283"/>
      <c r="G515" s="283"/>
      <c r="H515" s="283"/>
      <c r="I515" s="283"/>
      <c r="J515" s="283"/>
      <c r="K515" s="283"/>
      <c r="L515" s="283"/>
      <c r="M515" s="283"/>
      <c r="N515" s="283"/>
      <c r="O515" s="283"/>
      <c r="P515" s="283"/>
      <c r="Q515" s="283"/>
      <c r="R515" s="283"/>
      <c r="S515" s="283"/>
      <c r="T515" s="283"/>
      <c r="U515" s="283"/>
      <c r="V515" s="283"/>
      <c r="W515" s="283"/>
      <c r="X515" s="283"/>
    </row>
    <row r="516" spans="1:24" ht="13.5" customHeight="1" x14ac:dyDescent="0.2">
      <c r="A516" s="283"/>
      <c r="B516" s="283"/>
      <c r="C516" s="283"/>
      <c r="D516" s="283"/>
      <c r="E516" s="283"/>
      <c r="F516" s="283"/>
      <c r="G516" s="283"/>
      <c r="H516" s="283"/>
      <c r="I516" s="283"/>
      <c r="J516" s="283"/>
      <c r="K516" s="283"/>
      <c r="L516" s="283"/>
      <c r="M516" s="283"/>
      <c r="N516" s="283"/>
      <c r="O516" s="283"/>
      <c r="P516" s="283"/>
      <c r="Q516" s="283"/>
      <c r="R516" s="283"/>
      <c r="S516" s="283"/>
      <c r="T516" s="283"/>
      <c r="U516" s="283"/>
      <c r="V516" s="283"/>
      <c r="W516" s="283"/>
      <c r="X516" s="283"/>
    </row>
    <row r="517" spans="1:24" ht="13.5" customHeight="1" x14ac:dyDescent="0.2">
      <c r="A517" s="283"/>
      <c r="B517" s="283"/>
      <c r="C517" s="283"/>
      <c r="D517" s="283"/>
      <c r="E517" s="283"/>
      <c r="F517" s="283"/>
      <c r="G517" s="283"/>
      <c r="H517" s="283"/>
      <c r="I517" s="283"/>
      <c r="J517" s="283"/>
      <c r="K517" s="283"/>
      <c r="L517" s="283"/>
      <c r="M517" s="283"/>
      <c r="N517" s="283"/>
      <c r="O517" s="283"/>
      <c r="P517" s="283"/>
      <c r="Q517" s="283"/>
      <c r="R517" s="283"/>
      <c r="S517" s="283"/>
      <c r="T517" s="283"/>
      <c r="U517" s="283"/>
      <c r="V517" s="283"/>
      <c r="W517" s="283"/>
      <c r="X517" s="283"/>
    </row>
    <row r="518" spans="1:24" ht="13.5" customHeight="1" x14ac:dyDescent="0.2">
      <c r="A518" s="283"/>
      <c r="B518" s="283"/>
      <c r="C518" s="283"/>
      <c r="D518" s="283"/>
      <c r="E518" s="283"/>
      <c r="F518" s="283"/>
      <c r="G518" s="283"/>
      <c r="H518" s="283"/>
      <c r="I518" s="283"/>
      <c r="J518" s="283"/>
      <c r="K518" s="283"/>
      <c r="L518" s="283"/>
      <c r="M518" s="283"/>
      <c r="N518" s="283"/>
      <c r="O518" s="283"/>
      <c r="P518" s="283"/>
      <c r="Q518" s="283"/>
      <c r="R518" s="283"/>
      <c r="S518" s="283"/>
      <c r="T518" s="283"/>
      <c r="U518" s="283"/>
      <c r="V518" s="283"/>
      <c r="W518" s="283"/>
      <c r="X518" s="283"/>
    </row>
    <row r="519" spans="1:24" ht="13.5" customHeight="1" x14ac:dyDescent="0.2">
      <c r="A519" s="283"/>
      <c r="B519" s="283"/>
      <c r="C519" s="283"/>
      <c r="D519" s="283"/>
      <c r="E519" s="283"/>
      <c r="F519" s="283"/>
      <c r="G519" s="283"/>
      <c r="H519" s="283"/>
      <c r="I519" s="283"/>
      <c r="J519" s="283"/>
      <c r="K519" s="283"/>
      <c r="L519" s="283"/>
      <c r="M519" s="283"/>
      <c r="N519" s="283"/>
      <c r="O519" s="283"/>
      <c r="P519" s="283"/>
      <c r="Q519" s="283"/>
      <c r="R519" s="283"/>
      <c r="S519" s="283"/>
      <c r="T519" s="283"/>
      <c r="U519" s="283"/>
      <c r="V519" s="283"/>
      <c r="W519" s="283"/>
      <c r="X519" s="283"/>
    </row>
    <row r="520" spans="1:24" ht="13.5" customHeight="1" x14ac:dyDescent="0.2">
      <c r="A520" s="283"/>
      <c r="B520" s="283"/>
      <c r="C520" s="283"/>
      <c r="D520" s="283"/>
      <c r="E520" s="283"/>
      <c r="F520" s="283"/>
      <c r="G520" s="283"/>
      <c r="H520" s="283"/>
      <c r="I520" s="283"/>
      <c r="J520" s="283"/>
      <c r="K520" s="283"/>
      <c r="L520" s="283"/>
      <c r="M520" s="283"/>
      <c r="N520" s="283"/>
      <c r="O520" s="283"/>
      <c r="P520" s="283"/>
      <c r="Q520" s="283"/>
      <c r="R520" s="283"/>
      <c r="S520" s="283"/>
      <c r="T520" s="283"/>
      <c r="U520" s="283"/>
      <c r="V520" s="283"/>
      <c r="W520" s="283"/>
      <c r="X520" s="283"/>
    </row>
    <row r="521" spans="1:24" ht="13.5" customHeight="1" x14ac:dyDescent="0.2">
      <c r="A521" s="283"/>
      <c r="B521" s="283"/>
      <c r="C521" s="283"/>
      <c r="D521" s="283"/>
      <c r="E521" s="283"/>
      <c r="F521" s="283"/>
      <c r="G521" s="283"/>
      <c r="H521" s="283"/>
      <c r="I521" s="283"/>
      <c r="J521" s="283"/>
      <c r="K521" s="283"/>
      <c r="L521" s="283"/>
      <c r="M521" s="283"/>
      <c r="N521" s="283"/>
      <c r="O521" s="283"/>
      <c r="P521" s="283"/>
      <c r="Q521" s="283"/>
      <c r="R521" s="283"/>
      <c r="S521" s="283"/>
      <c r="T521" s="283"/>
      <c r="U521" s="283"/>
      <c r="V521" s="283"/>
      <c r="W521" s="283"/>
      <c r="X521" s="283"/>
    </row>
    <row r="522" spans="1:24" ht="13.5" customHeight="1" x14ac:dyDescent="0.2">
      <c r="A522" s="283"/>
      <c r="B522" s="283"/>
      <c r="C522" s="283"/>
      <c r="D522" s="283"/>
      <c r="E522" s="283"/>
      <c r="F522" s="283"/>
      <c r="G522" s="283"/>
      <c r="H522" s="283"/>
      <c r="I522" s="283"/>
      <c r="J522" s="283"/>
      <c r="K522" s="283"/>
      <c r="L522" s="283"/>
      <c r="M522" s="283"/>
      <c r="N522" s="283"/>
      <c r="O522" s="283"/>
      <c r="P522" s="283"/>
      <c r="Q522" s="283"/>
      <c r="R522" s="283"/>
      <c r="S522" s="283"/>
      <c r="T522" s="283"/>
      <c r="U522" s="283"/>
      <c r="V522" s="283"/>
      <c r="W522" s="283"/>
      <c r="X522" s="283"/>
    </row>
    <row r="523" spans="1:24" ht="13.5" customHeight="1" x14ac:dyDescent="0.2">
      <c r="A523" s="283"/>
      <c r="B523" s="283"/>
      <c r="C523" s="283"/>
      <c r="D523" s="283"/>
      <c r="E523" s="283"/>
      <c r="F523" s="283"/>
      <c r="G523" s="283"/>
      <c r="H523" s="283"/>
      <c r="I523" s="283"/>
      <c r="J523" s="283"/>
      <c r="K523" s="283"/>
      <c r="L523" s="283"/>
      <c r="M523" s="283"/>
      <c r="N523" s="283"/>
      <c r="O523" s="283"/>
      <c r="P523" s="283"/>
      <c r="Q523" s="283"/>
      <c r="R523" s="283"/>
      <c r="S523" s="283"/>
      <c r="T523" s="283"/>
      <c r="U523" s="283"/>
      <c r="V523" s="283"/>
      <c r="W523" s="283"/>
      <c r="X523" s="283"/>
    </row>
    <row r="524" spans="1:24" ht="13.5" customHeight="1" x14ac:dyDescent="0.2">
      <c r="A524" s="283"/>
      <c r="B524" s="283"/>
      <c r="C524" s="283"/>
      <c r="D524" s="283"/>
      <c r="E524" s="283"/>
      <c r="F524" s="283"/>
      <c r="G524" s="283"/>
      <c r="H524" s="283"/>
      <c r="I524" s="283"/>
      <c r="J524" s="283"/>
      <c r="K524" s="283"/>
      <c r="L524" s="283"/>
      <c r="M524" s="283"/>
      <c r="N524" s="283"/>
      <c r="O524" s="283"/>
      <c r="P524" s="283"/>
      <c r="Q524" s="283"/>
      <c r="R524" s="283"/>
      <c r="S524" s="283"/>
      <c r="T524" s="283"/>
      <c r="U524" s="283"/>
      <c r="V524" s="283"/>
      <c r="W524" s="283"/>
      <c r="X524" s="283"/>
    </row>
    <row r="525" spans="1:24" ht="13.5" customHeight="1" x14ac:dyDescent="0.2">
      <c r="A525" s="283"/>
      <c r="B525" s="283"/>
      <c r="C525" s="283"/>
      <c r="D525" s="283"/>
      <c r="E525" s="283"/>
      <c r="F525" s="283"/>
      <c r="G525" s="283"/>
      <c r="H525" s="283"/>
      <c r="I525" s="283"/>
      <c r="J525" s="283"/>
      <c r="K525" s="283"/>
      <c r="L525" s="283"/>
      <c r="M525" s="283"/>
      <c r="N525" s="283"/>
      <c r="O525" s="283"/>
      <c r="P525" s="283"/>
      <c r="Q525" s="283"/>
      <c r="R525" s="283"/>
      <c r="S525" s="283"/>
      <c r="T525" s="283"/>
      <c r="U525" s="283"/>
      <c r="V525" s="283"/>
      <c r="W525" s="283"/>
      <c r="X525" s="283"/>
    </row>
    <row r="526" spans="1:24" ht="13.5" customHeight="1" x14ac:dyDescent="0.2">
      <c r="A526" s="283"/>
      <c r="B526" s="283"/>
      <c r="C526" s="283"/>
      <c r="D526" s="283"/>
      <c r="E526" s="283"/>
      <c r="F526" s="283"/>
      <c r="G526" s="283"/>
      <c r="H526" s="283"/>
      <c r="I526" s="283"/>
      <c r="J526" s="283"/>
      <c r="K526" s="283"/>
      <c r="L526" s="283"/>
      <c r="M526" s="283"/>
      <c r="N526" s="283"/>
      <c r="O526" s="283"/>
      <c r="P526" s="283"/>
      <c r="Q526" s="283"/>
      <c r="R526" s="283"/>
      <c r="S526" s="283"/>
      <c r="T526" s="283"/>
      <c r="U526" s="283"/>
      <c r="V526" s="283"/>
      <c r="W526" s="283"/>
      <c r="X526" s="283"/>
    </row>
    <row r="527" spans="1:24" ht="13.5" customHeight="1" x14ac:dyDescent="0.2">
      <c r="A527" s="283"/>
      <c r="B527" s="283"/>
      <c r="C527" s="283"/>
      <c r="D527" s="283"/>
      <c r="E527" s="283"/>
      <c r="F527" s="283"/>
      <c r="G527" s="283"/>
      <c r="H527" s="283"/>
      <c r="I527" s="283"/>
      <c r="J527" s="283"/>
      <c r="K527" s="283"/>
      <c r="L527" s="283"/>
      <c r="M527" s="283"/>
      <c r="N527" s="283"/>
      <c r="O527" s="283"/>
      <c r="P527" s="283"/>
      <c r="Q527" s="283"/>
      <c r="R527" s="283"/>
      <c r="S527" s="283"/>
      <c r="T527" s="283"/>
      <c r="U527" s="283"/>
      <c r="V527" s="283"/>
      <c r="W527" s="283"/>
      <c r="X527" s="283"/>
    </row>
    <row r="528" spans="1:24" ht="13.5" customHeight="1" x14ac:dyDescent="0.2">
      <c r="A528" s="283"/>
      <c r="B528" s="283"/>
      <c r="C528" s="283"/>
      <c r="D528" s="283"/>
      <c r="E528" s="283"/>
      <c r="F528" s="283"/>
      <c r="G528" s="283"/>
      <c r="H528" s="283"/>
      <c r="I528" s="283"/>
      <c r="J528" s="283"/>
      <c r="K528" s="283"/>
      <c r="L528" s="283"/>
      <c r="M528" s="283"/>
      <c r="N528" s="283"/>
      <c r="O528" s="283"/>
      <c r="P528" s="283"/>
      <c r="Q528" s="283"/>
      <c r="R528" s="283"/>
      <c r="S528" s="283"/>
      <c r="T528" s="283"/>
      <c r="U528" s="283"/>
      <c r="V528" s="283"/>
      <c r="W528" s="283"/>
      <c r="X528" s="283"/>
    </row>
    <row r="529" spans="1:24" ht="13.5" customHeight="1" x14ac:dyDescent="0.2">
      <c r="A529" s="283"/>
      <c r="B529" s="283"/>
      <c r="C529" s="283"/>
      <c r="D529" s="283"/>
      <c r="E529" s="283"/>
      <c r="F529" s="283"/>
      <c r="G529" s="283"/>
      <c r="H529" s="283"/>
      <c r="I529" s="283"/>
      <c r="J529" s="283"/>
      <c r="K529" s="283"/>
      <c r="L529" s="283"/>
      <c r="M529" s="283"/>
      <c r="N529" s="283"/>
      <c r="O529" s="283"/>
      <c r="P529" s="283"/>
      <c r="Q529" s="283"/>
      <c r="R529" s="283"/>
      <c r="S529" s="283"/>
      <c r="T529" s="283"/>
      <c r="U529" s="283"/>
      <c r="V529" s="283"/>
      <c r="W529" s="283"/>
      <c r="X529" s="283"/>
    </row>
    <row r="530" spans="1:24" ht="13.5" customHeight="1" x14ac:dyDescent="0.2">
      <c r="A530" s="283"/>
      <c r="B530" s="283"/>
      <c r="C530" s="283"/>
      <c r="D530" s="283"/>
      <c r="E530" s="283"/>
      <c r="F530" s="283"/>
      <c r="G530" s="283"/>
      <c r="H530" s="283"/>
      <c r="I530" s="283"/>
      <c r="J530" s="283"/>
      <c r="K530" s="283"/>
      <c r="L530" s="283"/>
      <c r="M530" s="283"/>
      <c r="N530" s="283"/>
      <c r="O530" s="283"/>
      <c r="P530" s="283"/>
      <c r="Q530" s="283"/>
      <c r="R530" s="283"/>
      <c r="S530" s="283"/>
      <c r="T530" s="283"/>
      <c r="U530" s="283"/>
      <c r="V530" s="283"/>
      <c r="W530" s="283"/>
      <c r="X530" s="283"/>
    </row>
    <row r="531" spans="1:24" ht="13.5" customHeight="1" x14ac:dyDescent="0.2">
      <c r="A531" s="283"/>
      <c r="B531" s="283"/>
      <c r="C531" s="283"/>
      <c r="D531" s="283"/>
      <c r="E531" s="283"/>
      <c r="F531" s="283"/>
      <c r="G531" s="283"/>
      <c r="H531" s="283"/>
      <c r="I531" s="283"/>
      <c r="J531" s="283"/>
      <c r="K531" s="283"/>
      <c r="L531" s="283"/>
      <c r="M531" s="283"/>
      <c r="N531" s="283"/>
      <c r="O531" s="283"/>
      <c r="P531" s="283"/>
      <c r="Q531" s="283"/>
      <c r="R531" s="283"/>
      <c r="S531" s="283"/>
      <c r="T531" s="283"/>
      <c r="U531" s="283"/>
      <c r="V531" s="283"/>
      <c r="W531" s="283"/>
      <c r="X531" s="283"/>
    </row>
    <row r="532" spans="1:24" ht="13.5" customHeight="1" x14ac:dyDescent="0.2">
      <c r="A532" s="283"/>
      <c r="B532" s="283"/>
      <c r="C532" s="283"/>
      <c r="D532" s="283"/>
      <c r="E532" s="283"/>
      <c r="F532" s="283"/>
      <c r="G532" s="283"/>
      <c r="H532" s="283"/>
      <c r="I532" s="283"/>
      <c r="J532" s="283"/>
      <c r="K532" s="283"/>
      <c r="L532" s="283"/>
      <c r="M532" s="283"/>
      <c r="N532" s="283"/>
      <c r="O532" s="283"/>
      <c r="P532" s="283"/>
      <c r="Q532" s="283"/>
      <c r="R532" s="283"/>
      <c r="S532" s="283"/>
      <c r="T532" s="283"/>
      <c r="U532" s="283"/>
      <c r="V532" s="283"/>
      <c r="W532" s="283"/>
      <c r="X532" s="283"/>
    </row>
    <row r="533" spans="1:24" ht="13.5" customHeight="1" x14ac:dyDescent="0.2">
      <c r="A533" s="283"/>
      <c r="B533" s="283"/>
      <c r="C533" s="283"/>
      <c r="D533" s="283"/>
      <c r="E533" s="283"/>
      <c r="F533" s="283"/>
      <c r="G533" s="283"/>
      <c r="H533" s="283"/>
      <c r="I533" s="283"/>
      <c r="J533" s="283"/>
      <c r="K533" s="283"/>
      <c r="L533" s="283"/>
      <c r="M533" s="283"/>
      <c r="N533" s="283"/>
      <c r="O533" s="283"/>
      <c r="P533" s="283"/>
      <c r="Q533" s="283"/>
      <c r="R533" s="283"/>
      <c r="S533" s="283"/>
      <c r="T533" s="283"/>
      <c r="U533" s="283"/>
      <c r="V533" s="283"/>
      <c r="W533" s="283"/>
      <c r="X533" s="283"/>
    </row>
    <row r="534" spans="1:24" ht="13.5" customHeight="1" x14ac:dyDescent="0.2">
      <c r="A534" s="283"/>
      <c r="B534" s="283"/>
      <c r="C534" s="283"/>
      <c r="D534" s="283"/>
      <c r="E534" s="283"/>
      <c r="F534" s="283"/>
      <c r="G534" s="283"/>
      <c r="H534" s="283"/>
      <c r="I534" s="283"/>
      <c r="J534" s="283"/>
      <c r="K534" s="283"/>
      <c r="L534" s="283"/>
      <c r="M534" s="283"/>
      <c r="N534" s="283"/>
      <c r="O534" s="283"/>
      <c r="P534" s="283"/>
      <c r="Q534" s="283"/>
      <c r="R534" s="283"/>
      <c r="S534" s="283"/>
      <c r="T534" s="283"/>
      <c r="U534" s="283"/>
      <c r="V534" s="283"/>
      <c r="W534" s="283"/>
      <c r="X534" s="283"/>
    </row>
    <row r="535" spans="1:24" ht="13.5" customHeight="1" x14ac:dyDescent="0.2">
      <c r="A535" s="283"/>
      <c r="B535" s="283"/>
      <c r="C535" s="283"/>
      <c r="D535" s="283"/>
      <c r="E535" s="283"/>
      <c r="F535" s="283"/>
      <c r="G535" s="283"/>
      <c r="H535" s="283"/>
      <c r="I535" s="283"/>
      <c r="J535" s="283"/>
      <c r="K535" s="283"/>
      <c r="L535" s="283"/>
      <c r="M535" s="283"/>
      <c r="N535" s="283"/>
      <c r="O535" s="283"/>
      <c r="P535" s="283"/>
      <c r="Q535" s="283"/>
      <c r="R535" s="283"/>
      <c r="S535" s="283"/>
      <c r="T535" s="283"/>
      <c r="U535" s="283"/>
      <c r="V535" s="283"/>
      <c r="W535" s="283"/>
      <c r="X535" s="283"/>
    </row>
    <row r="536" spans="1:24" ht="13.5" customHeight="1" x14ac:dyDescent="0.2">
      <c r="A536" s="283"/>
      <c r="B536" s="283"/>
      <c r="C536" s="283"/>
      <c r="D536" s="283"/>
      <c r="E536" s="283"/>
      <c r="F536" s="283"/>
      <c r="G536" s="283"/>
      <c r="H536" s="283"/>
      <c r="I536" s="283"/>
      <c r="J536" s="283"/>
      <c r="K536" s="283"/>
      <c r="L536" s="283"/>
      <c r="M536" s="283"/>
      <c r="N536" s="283"/>
      <c r="O536" s="283"/>
      <c r="P536" s="283"/>
      <c r="Q536" s="283"/>
      <c r="R536" s="283"/>
      <c r="S536" s="283"/>
      <c r="T536" s="283"/>
      <c r="U536" s="283"/>
      <c r="V536" s="283"/>
      <c r="W536" s="283"/>
      <c r="X536" s="283"/>
    </row>
    <row r="537" spans="1:24" ht="13.5" customHeight="1" x14ac:dyDescent="0.2">
      <c r="A537" s="283"/>
      <c r="B537" s="283"/>
      <c r="C537" s="283"/>
      <c r="D537" s="283"/>
      <c r="E537" s="283"/>
      <c r="F537" s="283"/>
      <c r="G537" s="283"/>
      <c r="H537" s="283"/>
      <c r="I537" s="283"/>
      <c r="J537" s="283"/>
      <c r="K537" s="283"/>
      <c r="L537" s="283"/>
      <c r="M537" s="283"/>
      <c r="N537" s="283"/>
      <c r="O537" s="283"/>
      <c r="P537" s="283"/>
      <c r="Q537" s="283"/>
      <c r="R537" s="283"/>
      <c r="S537" s="283"/>
      <c r="T537" s="283"/>
      <c r="U537" s="283"/>
      <c r="V537" s="283"/>
      <c r="W537" s="283"/>
      <c r="X537" s="283"/>
    </row>
    <row r="538" spans="1:24" ht="13.5" customHeight="1" x14ac:dyDescent="0.2">
      <c r="A538" s="283"/>
      <c r="B538" s="283"/>
      <c r="C538" s="283"/>
      <c r="D538" s="283"/>
      <c r="E538" s="283"/>
      <c r="F538" s="283"/>
      <c r="G538" s="283"/>
      <c r="H538" s="283"/>
      <c r="I538" s="283"/>
      <c r="J538" s="283"/>
      <c r="K538" s="283"/>
      <c r="L538" s="283"/>
      <c r="M538" s="283"/>
      <c r="N538" s="283"/>
      <c r="O538" s="283"/>
      <c r="P538" s="283"/>
      <c r="Q538" s="283"/>
      <c r="R538" s="283"/>
      <c r="S538" s="283"/>
      <c r="T538" s="283"/>
      <c r="U538" s="283"/>
      <c r="V538" s="283"/>
      <c r="W538" s="283"/>
      <c r="X538" s="283"/>
    </row>
    <row r="539" spans="1:24" ht="13.5" customHeight="1" x14ac:dyDescent="0.2">
      <c r="A539" s="283"/>
      <c r="B539" s="283"/>
      <c r="C539" s="283"/>
      <c r="D539" s="283"/>
      <c r="E539" s="283"/>
      <c r="F539" s="283"/>
      <c r="G539" s="283"/>
      <c r="H539" s="283"/>
      <c r="I539" s="283"/>
      <c r="J539" s="283"/>
      <c r="K539" s="283"/>
      <c r="L539" s="283"/>
      <c r="M539" s="283"/>
      <c r="N539" s="283"/>
      <c r="O539" s="283"/>
      <c r="P539" s="283"/>
      <c r="Q539" s="283"/>
      <c r="R539" s="283"/>
      <c r="S539" s="283"/>
      <c r="T539" s="283"/>
      <c r="U539" s="283"/>
      <c r="V539" s="283"/>
      <c r="W539" s="283"/>
      <c r="X539" s="283"/>
    </row>
    <row r="540" spans="1:24" ht="13.5" customHeight="1" x14ac:dyDescent="0.2">
      <c r="A540" s="283"/>
      <c r="B540" s="283"/>
      <c r="C540" s="283"/>
      <c r="D540" s="283"/>
      <c r="E540" s="283"/>
      <c r="F540" s="283"/>
      <c r="G540" s="283"/>
      <c r="H540" s="283"/>
      <c r="I540" s="283"/>
      <c r="J540" s="283"/>
      <c r="K540" s="283"/>
      <c r="L540" s="283"/>
      <c r="M540" s="283"/>
      <c r="N540" s="283"/>
      <c r="O540" s="283"/>
      <c r="P540" s="283"/>
      <c r="Q540" s="283"/>
      <c r="R540" s="283"/>
      <c r="S540" s="283"/>
      <c r="T540" s="283"/>
      <c r="U540" s="283"/>
      <c r="V540" s="283"/>
      <c r="W540" s="283"/>
      <c r="X540" s="283"/>
    </row>
    <row r="541" spans="1:24" ht="13.5" customHeight="1" x14ac:dyDescent="0.2">
      <c r="A541" s="283"/>
      <c r="B541" s="283"/>
      <c r="C541" s="283"/>
      <c r="D541" s="283"/>
      <c r="E541" s="283"/>
      <c r="F541" s="283"/>
      <c r="G541" s="283"/>
      <c r="H541" s="283"/>
      <c r="I541" s="283"/>
      <c r="J541" s="283"/>
      <c r="K541" s="283"/>
      <c r="L541" s="283"/>
      <c r="M541" s="283"/>
      <c r="N541" s="283"/>
      <c r="O541" s="283"/>
      <c r="P541" s="283"/>
      <c r="Q541" s="283"/>
      <c r="R541" s="283"/>
      <c r="S541" s="283"/>
      <c r="T541" s="283"/>
      <c r="U541" s="283"/>
      <c r="V541" s="283"/>
      <c r="W541" s="283"/>
      <c r="X541" s="283"/>
    </row>
    <row r="542" spans="1:24" ht="13.5" customHeight="1" x14ac:dyDescent="0.2">
      <c r="A542" s="283"/>
      <c r="B542" s="283"/>
      <c r="C542" s="283"/>
      <c r="D542" s="283"/>
      <c r="E542" s="283"/>
      <c r="F542" s="283"/>
      <c r="G542" s="283"/>
      <c r="H542" s="283"/>
      <c r="I542" s="283"/>
      <c r="J542" s="283"/>
      <c r="K542" s="283"/>
      <c r="L542" s="283"/>
      <c r="M542" s="283"/>
      <c r="N542" s="283"/>
      <c r="O542" s="283"/>
      <c r="P542" s="283"/>
      <c r="Q542" s="283"/>
      <c r="R542" s="283"/>
      <c r="S542" s="283"/>
      <c r="T542" s="283"/>
      <c r="U542" s="283"/>
      <c r="V542" s="283"/>
      <c r="W542" s="283"/>
      <c r="X542" s="283"/>
    </row>
    <row r="543" spans="1:24" ht="13.5" customHeight="1" x14ac:dyDescent="0.2">
      <c r="A543" s="283"/>
      <c r="B543" s="283"/>
      <c r="C543" s="283"/>
      <c r="D543" s="283"/>
      <c r="E543" s="283"/>
      <c r="F543" s="283"/>
      <c r="G543" s="283"/>
      <c r="H543" s="283"/>
      <c r="I543" s="283"/>
      <c r="J543" s="283"/>
      <c r="K543" s="283"/>
      <c r="L543" s="283"/>
      <c r="M543" s="283"/>
      <c r="N543" s="283"/>
      <c r="O543" s="283"/>
      <c r="P543" s="283"/>
      <c r="Q543" s="283"/>
      <c r="R543" s="283"/>
      <c r="S543" s="283"/>
      <c r="T543" s="283"/>
      <c r="U543" s="283"/>
      <c r="V543" s="283"/>
      <c r="W543" s="283"/>
      <c r="X543" s="283"/>
    </row>
    <row r="544" spans="1:24" ht="13.5" customHeight="1" x14ac:dyDescent="0.2">
      <c r="A544" s="283"/>
      <c r="B544" s="283"/>
      <c r="C544" s="283"/>
      <c r="D544" s="283"/>
      <c r="E544" s="283"/>
      <c r="F544" s="283"/>
      <c r="G544" s="283"/>
      <c r="H544" s="283"/>
      <c r="I544" s="283"/>
      <c r="J544" s="283"/>
      <c r="K544" s="283"/>
      <c r="L544" s="283"/>
      <c r="M544" s="283"/>
      <c r="N544" s="283"/>
      <c r="O544" s="283"/>
      <c r="P544" s="283"/>
      <c r="Q544" s="283"/>
      <c r="R544" s="283"/>
      <c r="S544" s="283"/>
      <c r="T544" s="283"/>
      <c r="U544" s="283"/>
      <c r="V544" s="283"/>
      <c r="W544" s="283"/>
      <c r="X544" s="283"/>
    </row>
    <row r="545" spans="1:24" ht="13.5" customHeight="1" x14ac:dyDescent="0.2">
      <c r="A545" s="283"/>
      <c r="B545" s="283"/>
      <c r="C545" s="283"/>
      <c r="D545" s="283"/>
      <c r="E545" s="283"/>
      <c r="F545" s="283"/>
      <c r="G545" s="283"/>
      <c r="H545" s="283"/>
      <c r="I545" s="283"/>
      <c r="J545" s="283"/>
      <c r="K545" s="283"/>
      <c r="L545" s="283"/>
      <c r="M545" s="283"/>
      <c r="N545" s="283"/>
      <c r="O545" s="283"/>
      <c r="P545" s="283"/>
      <c r="Q545" s="283"/>
      <c r="R545" s="283"/>
      <c r="S545" s="283"/>
      <c r="T545" s="283"/>
      <c r="U545" s="283"/>
      <c r="V545" s="283"/>
      <c r="W545" s="283"/>
      <c r="X545" s="283"/>
    </row>
    <row r="546" spans="1:24" ht="13.5" customHeight="1" x14ac:dyDescent="0.2">
      <c r="A546" s="283"/>
      <c r="B546" s="283"/>
      <c r="C546" s="283"/>
      <c r="D546" s="283"/>
      <c r="E546" s="283"/>
      <c r="F546" s="283"/>
      <c r="G546" s="283"/>
      <c r="H546" s="283"/>
      <c r="I546" s="283"/>
      <c r="J546" s="283"/>
      <c r="K546" s="283"/>
      <c r="L546" s="283"/>
      <c r="M546" s="283"/>
      <c r="N546" s="283"/>
      <c r="O546" s="283"/>
      <c r="P546" s="283"/>
      <c r="Q546" s="283"/>
      <c r="R546" s="283"/>
      <c r="S546" s="283"/>
      <c r="T546" s="283"/>
      <c r="U546" s="283"/>
      <c r="V546" s="283"/>
      <c r="W546" s="283"/>
      <c r="X546" s="283"/>
    </row>
    <row r="547" spans="1:24" ht="13.5" customHeight="1" x14ac:dyDescent="0.2">
      <c r="A547" s="283"/>
      <c r="B547" s="283"/>
      <c r="C547" s="283"/>
      <c r="D547" s="283"/>
      <c r="E547" s="283"/>
      <c r="F547" s="283"/>
      <c r="G547" s="283"/>
      <c r="H547" s="283"/>
      <c r="I547" s="283"/>
      <c r="J547" s="283"/>
      <c r="K547" s="283"/>
      <c r="L547" s="283"/>
      <c r="M547" s="283"/>
      <c r="N547" s="283"/>
      <c r="O547" s="283"/>
      <c r="P547" s="283"/>
      <c r="Q547" s="283"/>
      <c r="R547" s="283"/>
      <c r="S547" s="283"/>
      <c r="T547" s="283"/>
      <c r="U547" s="283"/>
      <c r="V547" s="283"/>
      <c r="W547" s="283"/>
      <c r="X547" s="283"/>
    </row>
    <row r="548" spans="1:24" ht="13.5" customHeight="1" x14ac:dyDescent="0.2">
      <c r="A548" s="283"/>
      <c r="B548" s="283"/>
      <c r="C548" s="283"/>
      <c r="D548" s="283"/>
      <c r="E548" s="283"/>
      <c r="F548" s="283"/>
      <c r="G548" s="283"/>
      <c r="H548" s="283"/>
      <c r="I548" s="283"/>
      <c r="J548" s="283"/>
      <c r="K548" s="283"/>
      <c r="L548" s="283"/>
      <c r="M548" s="283"/>
      <c r="N548" s="283"/>
      <c r="O548" s="283"/>
      <c r="P548" s="283"/>
      <c r="Q548" s="283"/>
      <c r="R548" s="283"/>
      <c r="S548" s="283"/>
      <c r="T548" s="283"/>
      <c r="U548" s="283"/>
      <c r="V548" s="283"/>
      <c r="W548" s="283"/>
      <c r="X548" s="283"/>
    </row>
    <row r="549" spans="1:24" ht="13.5" customHeight="1" x14ac:dyDescent="0.2">
      <c r="A549" s="283"/>
      <c r="B549" s="283"/>
      <c r="C549" s="283"/>
      <c r="D549" s="283"/>
      <c r="E549" s="283"/>
      <c r="F549" s="283"/>
      <c r="G549" s="283"/>
      <c r="H549" s="283"/>
      <c r="I549" s="283"/>
      <c r="J549" s="283"/>
      <c r="K549" s="283"/>
      <c r="L549" s="283"/>
      <c r="M549" s="283"/>
      <c r="N549" s="283"/>
      <c r="O549" s="283"/>
      <c r="P549" s="283"/>
      <c r="Q549" s="283"/>
      <c r="R549" s="283"/>
      <c r="S549" s="283"/>
      <c r="T549" s="283"/>
      <c r="U549" s="283"/>
      <c r="V549" s="283"/>
      <c r="W549" s="283"/>
      <c r="X549" s="283"/>
    </row>
    <row r="550" spans="1:24" ht="13.5" customHeight="1" x14ac:dyDescent="0.2">
      <c r="A550" s="283"/>
      <c r="B550" s="283"/>
      <c r="C550" s="283"/>
      <c r="D550" s="283"/>
      <c r="E550" s="283"/>
      <c r="F550" s="283"/>
      <c r="G550" s="283"/>
      <c r="H550" s="283"/>
      <c r="I550" s="283"/>
      <c r="J550" s="283"/>
      <c r="K550" s="283"/>
      <c r="L550" s="283"/>
      <c r="M550" s="283"/>
      <c r="N550" s="283"/>
      <c r="O550" s="283"/>
      <c r="P550" s="283"/>
      <c r="Q550" s="283"/>
      <c r="R550" s="283"/>
      <c r="S550" s="283"/>
      <c r="T550" s="283"/>
      <c r="U550" s="283"/>
      <c r="V550" s="283"/>
      <c r="W550" s="283"/>
      <c r="X550" s="283"/>
    </row>
    <row r="551" spans="1:24" ht="13.5" customHeight="1" x14ac:dyDescent="0.2">
      <c r="A551" s="283"/>
      <c r="B551" s="283"/>
      <c r="C551" s="283"/>
      <c r="D551" s="283"/>
      <c r="E551" s="283"/>
      <c r="F551" s="283"/>
      <c r="G551" s="283"/>
      <c r="H551" s="283"/>
      <c r="I551" s="283"/>
      <c r="J551" s="283"/>
      <c r="K551" s="283"/>
      <c r="L551" s="283"/>
      <c r="M551" s="283"/>
      <c r="N551" s="283"/>
      <c r="O551" s="283"/>
      <c r="P551" s="283"/>
      <c r="Q551" s="283"/>
      <c r="R551" s="283"/>
      <c r="S551" s="283"/>
      <c r="T551" s="283"/>
      <c r="U551" s="283"/>
      <c r="V551" s="283"/>
      <c r="W551" s="283"/>
      <c r="X551" s="283"/>
    </row>
    <row r="552" spans="1:24" ht="13.5" customHeight="1" x14ac:dyDescent="0.2">
      <c r="A552" s="283"/>
      <c r="B552" s="283"/>
      <c r="C552" s="283"/>
      <c r="D552" s="283"/>
      <c r="E552" s="283"/>
      <c r="F552" s="283"/>
      <c r="G552" s="283"/>
      <c r="H552" s="283"/>
      <c r="I552" s="283"/>
      <c r="J552" s="283"/>
      <c r="K552" s="283"/>
      <c r="L552" s="283"/>
      <c r="M552" s="283"/>
      <c r="N552" s="283"/>
      <c r="O552" s="283"/>
      <c r="P552" s="283"/>
      <c r="Q552" s="283"/>
      <c r="R552" s="283"/>
      <c r="S552" s="283"/>
      <c r="T552" s="283"/>
      <c r="U552" s="283"/>
      <c r="V552" s="283"/>
      <c r="W552" s="283"/>
      <c r="X552" s="283"/>
    </row>
    <row r="553" spans="1:24" ht="13.5" customHeight="1" x14ac:dyDescent="0.2">
      <c r="A553" s="283"/>
      <c r="B553" s="283"/>
      <c r="C553" s="283"/>
      <c r="D553" s="283"/>
      <c r="E553" s="283"/>
      <c r="F553" s="283"/>
      <c r="G553" s="283"/>
      <c r="H553" s="283"/>
      <c r="I553" s="283"/>
      <c r="J553" s="283"/>
      <c r="K553" s="283"/>
      <c r="L553" s="283"/>
      <c r="M553" s="283"/>
      <c r="N553" s="283"/>
      <c r="O553" s="283"/>
      <c r="P553" s="283"/>
      <c r="Q553" s="283"/>
      <c r="R553" s="283"/>
      <c r="S553" s="283"/>
      <c r="T553" s="283"/>
      <c r="U553" s="283"/>
      <c r="V553" s="283"/>
      <c r="W553" s="283"/>
      <c r="X553" s="283"/>
    </row>
    <row r="554" spans="1:24" ht="13.5" customHeight="1" x14ac:dyDescent="0.2">
      <c r="A554" s="283"/>
      <c r="B554" s="283"/>
      <c r="C554" s="283"/>
      <c r="D554" s="283"/>
      <c r="E554" s="283"/>
      <c r="F554" s="283"/>
      <c r="G554" s="283"/>
      <c r="H554" s="283"/>
      <c r="I554" s="283"/>
      <c r="J554" s="283"/>
      <c r="K554" s="283"/>
      <c r="L554" s="283"/>
      <c r="M554" s="283"/>
      <c r="N554" s="283"/>
      <c r="O554" s="283"/>
      <c r="P554" s="283"/>
      <c r="Q554" s="283"/>
      <c r="R554" s="283"/>
      <c r="S554" s="283"/>
      <c r="T554" s="283"/>
      <c r="U554" s="283"/>
      <c r="V554" s="283"/>
      <c r="W554" s="283"/>
      <c r="X554" s="283"/>
    </row>
    <row r="555" spans="1:24" ht="13.5" customHeight="1" x14ac:dyDescent="0.2">
      <c r="A555" s="283"/>
      <c r="B555" s="283"/>
      <c r="C555" s="283"/>
      <c r="D555" s="283"/>
      <c r="E555" s="283"/>
      <c r="F555" s="283"/>
      <c r="G555" s="283"/>
      <c r="H555" s="283"/>
      <c r="I555" s="283"/>
      <c r="J555" s="283"/>
      <c r="K555" s="283"/>
      <c r="L555" s="283"/>
      <c r="M555" s="283"/>
      <c r="N555" s="283"/>
      <c r="O555" s="283"/>
      <c r="P555" s="283"/>
      <c r="Q555" s="283"/>
      <c r="R555" s="283"/>
      <c r="S555" s="283"/>
      <c r="T555" s="283"/>
      <c r="U555" s="283"/>
      <c r="V555" s="283"/>
      <c r="W555" s="283"/>
      <c r="X555" s="283"/>
    </row>
    <row r="556" spans="1:24" ht="13.5" customHeight="1" x14ac:dyDescent="0.2">
      <c r="A556" s="283"/>
      <c r="B556" s="283"/>
      <c r="C556" s="283"/>
      <c r="D556" s="283"/>
      <c r="E556" s="283"/>
      <c r="F556" s="283"/>
      <c r="G556" s="283"/>
      <c r="H556" s="283"/>
      <c r="I556" s="283"/>
      <c r="J556" s="283"/>
      <c r="K556" s="283"/>
      <c r="L556" s="283"/>
      <c r="M556" s="283"/>
      <c r="N556" s="283"/>
      <c r="O556" s="283"/>
      <c r="P556" s="283"/>
      <c r="Q556" s="283"/>
      <c r="R556" s="283"/>
      <c r="S556" s="283"/>
      <c r="T556" s="283"/>
      <c r="U556" s="283"/>
      <c r="V556" s="283"/>
      <c r="W556" s="283"/>
      <c r="X556" s="283"/>
    </row>
    <row r="557" spans="1:24" ht="13.5" customHeight="1" x14ac:dyDescent="0.2">
      <c r="A557" s="283"/>
      <c r="B557" s="283"/>
      <c r="C557" s="283"/>
      <c r="D557" s="283"/>
      <c r="E557" s="283"/>
      <c r="F557" s="283"/>
      <c r="G557" s="283"/>
      <c r="H557" s="283"/>
      <c r="I557" s="283"/>
      <c r="J557" s="283"/>
      <c r="K557" s="283"/>
      <c r="L557" s="283"/>
      <c r="M557" s="283"/>
      <c r="N557" s="283"/>
      <c r="O557" s="283"/>
      <c r="P557" s="283"/>
      <c r="Q557" s="283"/>
      <c r="R557" s="283"/>
      <c r="S557" s="283"/>
      <c r="T557" s="283"/>
      <c r="U557" s="283"/>
      <c r="V557" s="283"/>
      <c r="W557" s="283"/>
      <c r="X557" s="283"/>
    </row>
    <row r="558" spans="1:24" ht="13.5" customHeight="1" x14ac:dyDescent="0.2">
      <c r="A558" s="283"/>
      <c r="B558" s="283"/>
      <c r="C558" s="283"/>
      <c r="D558" s="283"/>
      <c r="E558" s="283"/>
      <c r="F558" s="283"/>
      <c r="G558" s="283"/>
      <c r="H558" s="283"/>
      <c r="I558" s="283"/>
      <c r="J558" s="283"/>
      <c r="K558" s="283"/>
      <c r="L558" s="283"/>
      <c r="M558" s="283"/>
      <c r="N558" s="283"/>
      <c r="O558" s="283"/>
      <c r="P558" s="283"/>
      <c r="Q558" s="283"/>
      <c r="R558" s="283"/>
      <c r="S558" s="283"/>
      <c r="T558" s="283"/>
      <c r="U558" s="283"/>
      <c r="V558" s="283"/>
      <c r="W558" s="283"/>
      <c r="X558" s="283"/>
    </row>
    <row r="559" spans="1:24" ht="13.5" customHeight="1" x14ac:dyDescent="0.2">
      <c r="A559" s="283"/>
      <c r="B559" s="283"/>
      <c r="C559" s="283"/>
      <c r="D559" s="283"/>
      <c r="E559" s="283"/>
      <c r="F559" s="283"/>
      <c r="G559" s="283"/>
      <c r="H559" s="283"/>
      <c r="I559" s="283"/>
      <c r="J559" s="283"/>
      <c r="K559" s="283"/>
      <c r="L559" s="283"/>
      <c r="M559" s="283"/>
      <c r="N559" s="283"/>
      <c r="O559" s="283"/>
      <c r="P559" s="283"/>
      <c r="Q559" s="283"/>
      <c r="R559" s="283"/>
      <c r="S559" s="283"/>
      <c r="T559" s="283"/>
      <c r="U559" s="283"/>
      <c r="V559" s="283"/>
      <c r="W559" s="283"/>
      <c r="X559" s="283"/>
    </row>
    <row r="560" spans="1:24" ht="13.5" customHeight="1" x14ac:dyDescent="0.2">
      <c r="A560" s="283"/>
      <c r="B560" s="283"/>
      <c r="C560" s="283"/>
      <c r="D560" s="283"/>
      <c r="E560" s="283"/>
      <c r="F560" s="283"/>
      <c r="G560" s="283"/>
      <c r="H560" s="283"/>
      <c r="I560" s="283"/>
      <c r="J560" s="283"/>
      <c r="K560" s="283"/>
      <c r="L560" s="283"/>
      <c r="M560" s="283"/>
      <c r="N560" s="283"/>
      <c r="O560" s="283"/>
      <c r="P560" s="283"/>
      <c r="Q560" s="283"/>
      <c r="R560" s="283"/>
      <c r="S560" s="283"/>
      <c r="T560" s="283"/>
      <c r="U560" s="283"/>
      <c r="V560" s="283"/>
      <c r="W560" s="283"/>
      <c r="X560" s="283"/>
    </row>
    <row r="561" spans="1:24" ht="13.5" customHeight="1" x14ac:dyDescent="0.2">
      <c r="A561" s="283"/>
      <c r="B561" s="283"/>
      <c r="C561" s="283"/>
      <c r="D561" s="283"/>
      <c r="E561" s="283"/>
      <c r="F561" s="283"/>
      <c r="G561" s="283"/>
      <c r="H561" s="283"/>
      <c r="I561" s="283"/>
      <c r="J561" s="283"/>
      <c r="K561" s="283"/>
      <c r="L561" s="283"/>
      <c r="M561" s="283"/>
      <c r="N561" s="283"/>
      <c r="O561" s="283"/>
      <c r="P561" s="283"/>
      <c r="Q561" s="283"/>
      <c r="R561" s="283"/>
      <c r="S561" s="283"/>
      <c r="T561" s="283"/>
      <c r="U561" s="283"/>
      <c r="V561" s="283"/>
      <c r="W561" s="283"/>
      <c r="X561" s="283"/>
    </row>
    <row r="562" spans="1:24" ht="13.5" customHeight="1" x14ac:dyDescent="0.2">
      <c r="A562" s="283"/>
      <c r="B562" s="283"/>
      <c r="C562" s="283"/>
      <c r="D562" s="283"/>
      <c r="E562" s="283"/>
      <c r="F562" s="283"/>
      <c r="G562" s="283"/>
      <c r="H562" s="283"/>
      <c r="I562" s="283"/>
      <c r="J562" s="283"/>
      <c r="K562" s="283"/>
      <c r="L562" s="283"/>
      <c r="M562" s="283"/>
      <c r="N562" s="283"/>
      <c r="O562" s="283"/>
      <c r="P562" s="283"/>
      <c r="Q562" s="283"/>
      <c r="R562" s="283"/>
      <c r="S562" s="283"/>
      <c r="T562" s="283"/>
      <c r="U562" s="283"/>
      <c r="V562" s="283"/>
      <c r="W562" s="283"/>
      <c r="X562" s="283"/>
    </row>
    <row r="563" spans="1:24" ht="13.5" customHeight="1" x14ac:dyDescent="0.2">
      <c r="A563" s="283"/>
      <c r="B563" s="283"/>
      <c r="C563" s="283"/>
      <c r="D563" s="283"/>
      <c r="E563" s="283"/>
      <c r="F563" s="283"/>
      <c r="G563" s="283"/>
      <c r="H563" s="283"/>
      <c r="I563" s="283"/>
      <c r="J563" s="283"/>
      <c r="K563" s="283"/>
      <c r="L563" s="283"/>
      <c r="M563" s="283"/>
      <c r="N563" s="283"/>
      <c r="O563" s="283"/>
      <c r="P563" s="283"/>
      <c r="Q563" s="283"/>
      <c r="R563" s="283"/>
      <c r="S563" s="283"/>
      <c r="T563" s="283"/>
      <c r="U563" s="283"/>
      <c r="V563" s="283"/>
      <c r="W563" s="283"/>
      <c r="X563" s="283"/>
    </row>
    <row r="564" spans="1:24" ht="13.5" customHeight="1" x14ac:dyDescent="0.2">
      <c r="A564" s="283"/>
      <c r="B564" s="283"/>
      <c r="C564" s="283"/>
      <c r="D564" s="283"/>
      <c r="E564" s="283"/>
      <c r="F564" s="283"/>
      <c r="G564" s="283"/>
      <c r="H564" s="283"/>
      <c r="I564" s="283"/>
      <c r="J564" s="283"/>
      <c r="K564" s="283"/>
      <c r="L564" s="283"/>
      <c r="M564" s="283"/>
      <c r="N564" s="283"/>
      <c r="O564" s="283"/>
      <c r="P564" s="283"/>
      <c r="Q564" s="283"/>
      <c r="R564" s="283"/>
      <c r="S564" s="283"/>
      <c r="T564" s="283"/>
      <c r="U564" s="283"/>
      <c r="V564" s="283"/>
      <c r="W564" s="283"/>
      <c r="X564" s="283"/>
    </row>
    <row r="565" spans="1:24" ht="13.5" customHeight="1" x14ac:dyDescent="0.2">
      <c r="A565" s="283"/>
      <c r="B565" s="283"/>
      <c r="C565" s="283"/>
      <c r="D565" s="283"/>
      <c r="E565" s="283"/>
      <c r="F565" s="283"/>
      <c r="G565" s="283"/>
      <c r="H565" s="283"/>
      <c r="I565" s="283"/>
      <c r="J565" s="283"/>
      <c r="K565" s="283"/>
      <c r="L565" s="283"/>
      <c r="M565" s="283"/>
      <c r="N565" s="283"/>
      <c r="O565" s="283"/>
      <c r="P565" s="283"/>
      <c r="Q565" s="283"/>
      <c r="R565" s="283"/>
      <c r="S565" s="283"/>
      <c r="T565" s="283"/>
      <c r="U565" s="283"/>
      <c r="V565" s="283"/>
      <c r="W565" s="283"/>
      <c r="X565" s="283"/>
    </row>
    <row r="566" spans="1:24" ht="13.5" customHeight="1" x14ac:dyDescent="0.2">
      <c r="A566" s="283"/>
      <c r="B566" s="283"/>
      <c r="C566" s="283"/>
      <c r="D566" s="283"/>
      <c r="E566" s="283"/>
      <c r="F566" s="283"/>
      <c r="G566" s="283"/>
      <c r="H566" s="283"/>
      <c r="I566" s="283"/>
      <c r="J566" s="283"/>
      <c r="K566" s="283"/>
      <c r="L566" s="283"/>
      <c r="M566" s="283"/>
      <c r="N566" s="283"/>
      <c r="O566" s="283"/>
      <c r="P566" s="283"/>
      <c r="Q566" s="283"/>
      <c r="R566" s="283"/>
      <c r="S566" s="283"/>
      <c r="T566" s="283"/>
      <c r="U566" s="283"/>
      <c r="V566" s="283"/>
      <c r="W566" s="283"/>
      <c r="X566" s="283"/>
    </row>
    <row r="567" spans="1:24" ht="13.5" customHeight="1" x14ac:dyDescent="0.2">
      <c r="A567" s="283"/>
      <c r="B567" s="283"/>
      <c r="C567" s="283"/>
      <c r="D567" s="283"/>
      <c r="E567" s="283"/>
      <c r="F567" s="283"/>
      <c r="G567" s="283"/>
      <c r="H567" s="283"/>
      <c r="I567" s="283"/>
      <c r="J567" s="283"/>
      <c r="K567" s="283"/>
      <c r="L567" s="283"/>
      <c r="M567" s="283"/>
      <c r="N567" s="283"/>
      <c r="O567" s="283"/>
      <c r="P567" s="283"/>
      <c r="Q567" s="283"/>
      <c r="R567" s="283"/>
      <c r="S567" s="283"/>
      <c r="T567" s="283"/>
      <c r="U567" s="283"/>
      <c r="V567" s="283"/>
      <c r="W567" s="283"/>
      <c r="X567" s="283"/>
    </row>
    <row r="568" spans="1:24" ht="13.5" customHeight="1" x14ac:dyDescent="0.2">
      <c r="A568" s="283"/>
      <c r="B568" s="283"/>
      <c r="C568" s="283"/>
      <c r="D568" s="283"/>
      <c r="E568" s="283"/>
      <c r="F568" s="283"/>
      <c r="G568" s="283"/>
      <c r="H568" s="283"/>
      <c r="I568" s="283"/>
      <c r="J568" s="283"/>
      <c r="K568" s="283"/>
      <c r="L568" s="283"/>
      <c r="M568" s="283"/>
      <c r="N568" s="283"/>
      <c r="O568" s="283"/>
      <c r="P568" s="283"/>
      <c r="Q568" s="283"/>
      <c r="R568" s="283"/>
      <c r="S568" s="283"/>
      <c r="T568" s="283"/>
      <c r="U568" s="283"/>
      <c r="V568" s="283"/>
      <c r="W568" s="283"/>
      <c r="X568" s="283"/>
    </row>
    <row r="569" spans="1:24" ht="13.5" customHeight="1" x14ac:dyDescent="0.2">
      <c r="A569" s="283"/>
      <c r="B569" s="283"/>
      <c r="C569" s="283"/>
      <c r="D569" s="283"/>
      <c r="E569" s="283"/>
      <c r="F569" s="283"/>
      <c r="G569" s="283"/>
      <c r="H569" s="283"/>
      <c r="I569" s="283"/>
      <c r="J569" s="283"/>
      <c r="K569" s="283"/>
      <c r="L569" s="283"/>
      <c r="M569" s="283"/>
      <c r="N569" s="283"/>
      <c r="O569" s="283"/>
      <c r="P569" s="283"/>
      <c r="Q569" s="283"/>
      <c r="R569" s="283"/>
      <c r="S569" s="283"/>
      <c r="T569" s="283"/>
      <c r="U569" s="283"/>
      <c r="V569" s="283"/>
      <c r="W569" s="283"/>
      <c r="X569" s="283"/>
    </row>
    <row r="570" spans="1:24" ht="13.5" customHeight="1" x14ac:dyDescent="0.2">
      <c r="A570" s="283"/>
      <c r="B570" s="283"/>
      <c r="C570" s="283"/>
      <c r="D570" s="283"/>
      <c r="E570" s="283"/>
      <c r="F570" s="283"/>
      <c r="G570" s="283"/>
      <c r="H570" s="283"/>
      <c r="I570" s="283"/>
      <c r="J570" s="283"/>
      <c r="K570" s="283"/>
      <c r="L570" s="283"/>
      <c r="M570" s="283"/>
      <c r="N570" s="283"/>
      <c r="O570" s="283"/>
      <c r="P570" s="283"/>
      <c r="Q570" s="283"/>
      <c r="R570" s="283"/>
      <c r="S570" s="283"/>
      <c r="T570" s="283"/>
      <c r="U570" s="283"/>
      <c r="V570" s="283"/>
      <c r="W570" s="283"/>
      <c r="X570" s="283"/>
    </row>
    <row r="571" spans="1:24" ht="13.5" customHeight="1" x14ac:dyDescent="0.2">
      <c r="A571" s="283"/>
      <c r="B571" s="283"/>
      <c r="C571" s="283"/>
      <c r="D571" s="283"/>
      <c r="E571" s="283"/>
      <c r="F571" s="283"/>
      <c r="G571" s="283"/>
      <c r="H571" s="283"/>
      <c r="I571" s="283"/>
      <c r="J571" s="283"/>
      <c r="K571" s="283"/>
      <c r="L571" s="283"/>
      <c r="M571" s="283"/>
      <c r="N571" s="283"/>
      <c r="O571" s="283"/>
      <c r="P571" s="283"/>
      <c r="Q571" s="283"/>
      <c r="R571" s="283"/>
      <c r="S571" s="283"/>
      <c r="T571" s="283"/>
      <c r="U571" s="283"/>
      <c r="V571" s="283"/>
      <c r="W571" s="283"/>
      <c r="X571" s="283"/>
    </row>
    <row r="572" spans="1:24" ht="13.5" customHeight="1" x14ac:dyDescent="0.2">
      <c r="A572" s="283"/>
      <c r="B572" s="283"/>
      <c r="C572" s="283"/>
      <c r="D572" s="283"/>
      <c r="E572" s="283"/>
      <c r="F572" s="283"/>
      <c r="G572" s="283"/>
      <c r="H572" s="283"/>
      <c r="I572" s="283"/>
      <c r="J572" s="283"/>
      <c r="K572" s="283"/>
      <c r="L572" s="283"/>
      <c r="M572" s="283"/>
      <c r="N572" s="283"/>
      <c r="O572" s="283"/>
      <c r="P572" s="283"/>
      <c r="Q572" s="283"/>
      <c r="R572" s="283"/>
      <c r="S572" s="283"/>
      <c r="T572" s="283"/>
      <c r="U572" s="283"/>
      <c r="V572" s="283"/>
      <c r="W572" s="283"/>
      <c r="X572" s="283"/>
    </row>
    <row r="573" spans="1:24" ht="13.5" customHeight="1" x14ac:dyDescent="0.2">
      <c r="A573" s="283"/>
      <c r="B573" s="283"/>
      <c r="C573" s="283"/>
      <c r="D573" s="283"/>
      <c r="E573" s="283"/>
      <c r="F573" s="283"/>
      <c r="G573" s="283"/>
      <c r="H573" s="283"/>
      <c r="I573" s="283"/>
      <c r="J573" s="283"/>
      <c r="K573" s="283"/>
      <c r="L573" s="283"/>
      <c r="M573" s="283"/>
      <c r="N573" s="283"/>
      <c r="O573" s="283"/>
      <c r="P573" s="283"/>
      <c r="Q573" s="283"/>
      <c r="R573" s="283"/>
      <c r="S573" s="283"/>
      <c r="T573" s="283"/>
      <c r="U573" s="283"/>
      <c r="V573" s="283"/>
      <c r="W573" s="283"/>
      <c r="X573" s="283"/>
    </row>
    <row r="574" spans="1:24" ht="13.5" customHeight="1" x14ac:dyDescent="0.2">
      <c r="A574" s="283"/>
      <c r="B574" s="283"/>
      <c r="C574" s="283"/>
      <c r="D574" s="283"/>
      <c r="E574" s="283"/>
      <c r="F574" s="283"/>
      <c r="G574" s="283"/>
      <c r="H574" s="283"/>
      <c r="I574" s="283"/>
      <c r="J574" s="283"/>
      <c r="K574" s="283"/>
      <c r="L574" s="283"/>
      <c r="M574" s="283"/>
      <c r="N574" s="283"/>
      <c r="O574" s="283"/>
      <c r="P574" s="283"/>
      <c r="Q574" s="283"/>
      <c r="R574" s="283"/>
      <c r="S574" s="283"/>
      <c r="T574" s="283"/>
      <c r="U574" s="283"/>
      <c r="V574" s="283"/>
      <c r="W574" s="283"/>
      <c r="X574" s="283"/>
    </row>
    <row r="575" spans="1:24" ht="13.5" customHeight="1" x14ac:dyDescent="0.2">
      <c r="A575" s="283"/>
      <c r="B575" s="283"/>
      <c r="C575" s="283"/>
      <c r="D575" s="283"/>
      <c r="E575" s="283"/>
      <c r="F575" s="283"/>
      <c r="G575" s="283"/>
      <c r="H575" s="283"/>
      <c r="I575" s="283"/>
      <c r="J575" s="283"/>
      <c r="K575" s="283"/>
      <c r="L575" s="283"/>
      <c r="M575" s="283"/>
      <c r="N575" s="283"/>
      <c r="O575" s="283"/>
      <c r="P575" s="283"/>
      <c r="Q575" s="283"/>
      <c r="R575" s="283"/>
      <c r="S575" s="283"/>
      <c r="T575" s="283"/>
      <c r="U575" s="283"/>
      <c r="V575" s="283"/>
      <c r="W575" s="283"/>
      <c r="X575" s="283"/>
    </row>
    <row r="576" spans="1:24" ht="13.5" customHeight="1" x14ac:dyDescent="0.2">
      <c r="A576" s="283"/>
      <c r="B576" s="283"/>
      <c r="C576" s="283"/>
      <c r="D576" s="283"/>
      <c r="E576" s="283"/>
      <c r="F576" s="283"/>
      <c r="G576" s="283"/>
      <c r="H576" s="283"/>
      <c r="I576" s="283"/>
      <c r="J576" s="283"/>
      <c r="K576" s="283"/>
      <c r="L576" s="283"/>
      <c r="M576" s="283"/>
      <c r="N576" s="283"/>
      <c r="O576" s="283"/>
      <c r="P576" s="283"/>
      <c r="Q576" s="283"/>
      <c r="R576" s="283"/>
      <c r="S576" s="283"/>
      <c r="T576" s="283"/>
      <c r="U576" s="283"/>
      <c r="V576" s="283"/>
      <c r="W576" s="283"/>
      <c r="X576" s="283"/>
    </row>
    <row r="577" spans="1:24" ht="13.5" customHeight="1" x14ac:dyDescent="0.2">
      <c r="A577" s="283"/>
      <c r="B577" s="283"/>
      <c r="C577" s="283"/>
      <c r="D577" s="283"/>
      <c r="E577" s="283"/>
      <c r="F577" s="283"/>
      <c r="G577" s="283"/>
      <c r="H577" s="283"/>
      <c r="I577" s="283"/>
      <c r="J577" s="283"/>
      <c r="K577" s="283"/>
      <c r="L577" s="283"/>
      <c r="M577" s="283"/>
      <c r="N577" s="283"/>
      <c r="O577" s="283"/>
      <c r="P577" s="283"/>
      <c r="Q577" s="283"/>
      <c r="R577" s="283"/>
      <c r="S577" s="283"/>
      <c r="T577" s="283"/>
      <c r="U577" s="283"/>
      <c r="V577" s="283"/>
      <c r="W577" s="283"/>
      <c r="X577" s="283"/>
    </row>
    <row r="578" spans="1:24" ht="13.5" customHeight="1" x14ac:dyDescent="0.2">
      <c r="A578" s="283"/>
      <c r="B578" s="283"/>
      <c r="C578" s="283"/>
      <c r="D578" s="283"/>
      <c r="E578" s="283"/>
      <c r="F578" s="283"/>
      <c r="G578" s="283"/>
      <c r="H578" s="283"/>
      <c r="I578" s="283"/>
      <c r="J578" s="283"/>
      <c r="K578" s="283"/>
      <c r="L578" s="283"/>
      <c r="M578" s="283"/>
      <c r="N578" s="283"/>
      <c r="O578" s="283"/>
      <c r="P578" s="283"/>
      <c r="Q578" s="283"/>
      <c r="R578" s="283"/>
      <c r="S578" s="283"/>
      <c r="T578" s="283"/>
      <c r="U578" s="283"/>
      <c r="V578" s="283"/>
      <c r="W578" s="283"/>
      <c r="X578" s="283"/>
    </row>
    <row r="579" spans="1:24" ht="13.5" customHeight="1" x14ac:dyDescent="0.2">
      <c r="A579" s="283"/>
      <c r="B579" s="283"/>
      <c r="C579" s="283"/>
      <c r="D579" s="283"/>
      <c r="E579" s="283"/>
      <c r="F579" s="283"/>
      <c r="G579" s="283"/>
      <c r="H579" s="283"/>
      <c r="I579" s="283"/>
      <c r="J579" s="283"/>
      <c r="K579" s="283"/>
      <c r="L579" s="283"/>
      <c r="M579" s="283"/>
      <c r="N579" s="283"/>
      <c r="O579" s="283"/>
      <c r="P579" s="283"/>
      <c r="Q579" s="283"/>
      <c r="R579" s="283"/>
      <c r="S579" s="283"/>
      <c r="T579" s="283"/>
      <c r="U579" s="283"/>
      <c r="V579" s="283"/>
      <c r="W579" s="283"/>
      <c r="X579" s="283"/>
    </row>
    <row r="580" spans="1:24" ht="13.5" customHeight="1" x14ac:dyDescent="0.2">
      <c r="A580" s="283"/>
      <c r="B580" s="283"/>
      <c r="C580" s="283"/>
      <c r="D580" s="283"/>
      <c r="E580" s="283"/>
      <c r="F580" s="283"/>
      <c r="G580" s="283"/>
      <c r="H580" s="283"/>
      <c r="I580" s="283"/>
      <c r="J580" s="283"/>
      <c r="K580" s="283"/>
      <c r="L580" s="283"/>
      <c r="M580" s="283"/>
      <c r="N580" s="283"/>
      <c r="O580" s="283"/>
      <c r="P580" s="283"/>
      <c r="Q580" s="283"/>
      <c r="R580" s="283"/>
      <c r="S580" s="283"/>
      <c r="T580" s="283"/>
      <c r="U580" s="283"/>
      <c r="V580" s="283"/>
      <c r="W580" s="283"/>
      <c r="X580" s="283"/>
    </row>
    <row r="581" spans="1:24" ht="13.5" customHeight="1" x14ac:dyDescent="0.2">
      <c r="A581" s="283"/>
      <c r="B581" s="283"/>
      <c r="C581" s="283"/>
      <c r="D581" s="283"/>
      <c r="E581" s="283"/>
      <c r="F581" s="283"/>
      <c r="G581" s="283"/>
      <c r="H581" s="283"/>
      <c r="I581" s="283"/>
      <c r="J581" s="283"/>
      <c r="K581" s="283"/>
      <c r="L581" s="283"/>
      <c r="M581" s="283"/>
      <c r="N581" s="283"/>
      <c r="O581" s="283"/>
      <c r="P581" s="283"/>
      <c r="Q581" s="283"/>
      <c r="R581" s="283"/>
      <c r="S581" s="283"/>
      <c r="T581" s="283"/>
      <c r="U581" s="283"/>
      <c r="V581" s="283"/>
      <c r="W581" s="283"/>
      <c r="X581" s="283"/>
    </row>
    <row r="582" spans="1:24" ht="13.5" customHeight="1" x14ac:dyDescent="0.2">
      <c r="A582" s="283"/>
      <c r="B582" s="283"/>
      <c r="C582" s="283"/>
      <c r="D582" s="283"/>
      <c r="E582" s="283"/>
      <c r="F582" s="283"/>
      <c r="G582" s="283"/>
      <c r="H582" s="283"/>
      <c r="I582" s="283"/>
      <c r="J582" s="283"/>
      <c r="K582" s="283"/>
      <c r="L582" s="283"/>
      <c r="M582" s="283"/>
      <c r="N582" s="283"/>
      <c r="O582" s="283"/>
      <c r="P582" s="283"/>
      <c r="Q582" s="283"/>
      <c r="R582" s="283"/>
      <c r="S582" s="283"/>
      <c r="T582" s="283"/>
      <c r="U582" s="283"/>
      <c r="V582" s="283"/>
      <c r="W582" s="283"/>
      <c r="X582" s="283"/>
    </row>
    <row r="583" spans="1:24" ht="13.5" customHeight="1" x14ac:dyDescent="0.2">
      <c r="A583" s="283"/>
      <c r="B583" s="283"/>
      <c r="C583" s="283"/>
      <c r="D583" s="283"/>
      <c r="E583" s="283"/>
      <c r="F583" s="283"/>
      <c r="G583" s="283"/>
      <c r="H583" s="283"/>
      <c r="I583" s="283"/>
      <c r="J583" s="283"/>
      <c r="K583" s="283"/>
      <c r="L583" s="283"/>
      <c r="M583" s="283"/>
      <c r="N583" s="283"/>
      <c r="O583" s="283"/>
      <c r="P583" s="283"/>
      <c r="Q583" s="283"/>
      <c r="R583" s="283"/>
      <c r="S583" s="283"/>
      <c r="T583" s="283"/>
      <c r="U583" s="283"/>
      <c r="V583" s="283"/>
      <c r="W583" s="283"/>
      <c r="X583" s="283"/>
    </row>
    <row r="584" spans="1:24" ht="13.5" customHeight="1" x14ac:dyDescent="0.2">
      <c r="A584" s="283"/>
      <c r="B584" s="283"/>
      <c r="C584" s="283"/>
      <c r="D584" s="283"/>
      <c r="E584" s="283"/>
      <c r="F584" s="283"/>
      <c r="G584" s="283"/>
      <c r="H584" s="283"/>
      <c r="I584" s="283"/>
      <c r="J584" s="283"/>
      <c r="K584" s="283"/>
      <c r="L584" s="283"/>
      <c r="M584" s="283"/>
      <c r="N584" s="283"/>
      <c r="O584" s="283"/>
      <c r="P584" s="283"/>
      <c r="Q584" s="283"/>
      <c r="R584" s="283"/>
      <c r="S584" s="283"/>
      <c r="T584" s="283"/>
      <c r="U584" s="283"/>
      <c r="V584" s="283"/>
      <c r="W584" s="283"/>
      <c r="X584" s="283"/>
    </row>
    <row r="585" spans="1:24" ht="13.5" customHeight="1" x14ac:dyDescent="0.2">
      <c r="A585" s="283"/>
      <c r="B585" s="283"/>
      <c r="C585" s="283"/>
      <c r="D585" s="283"/>
      <c r="E585" s="283"/>
      <c r="F585" s="283"/>
      <c r="G585" s="283"/>
      <c r="H585" s="283"/>
      <c r="I585" s="283"/>
      <c r="J585" s="283"/>
      <c r="K585" s="283"/>
      <c r="L585" s="283"/>
      <c r="M585" s="283"/>
      <c r="N585" s="283"/>
      <c r="O585" s="283"/>
      <c r="P585" s="283"/>
      <c r="Q585" s="283"/>
      <c r="R585" s="283"/>
      <c r="S585" s="283"/>
      <c r="T585" s="283"/>
      <c r="U585" s="283"/>
      <c r="V585" s="283"/>
      <c r="W585" s="283"/>
      <c r="X585" s="283"/>
    </row>
    <row r="586" spans="1:24" ht="13.5" customHeight="1" x14ac:dyDescent="0.2">
      <c r="A586" s="283"/>
      <c r="B586" s="283"/>
      <c r="C586" s="283"/>
      <c r="D586" s="283"/>
      <c r="E586" s="283"/>
      <c r="F586" s="283"/>
      <c r="G586" s="283"/>
      <c r="H586" s="283"/>
      <c r="I586" s="283"/>
      <c r="J586" s="283"/>
      <c r="K586" s="283"/>
      <c r="L586" s="283"/>
      <c r="M586" s="283"/>
      <c r="N586" s="283"/>
      <c r="O586" s="283"/>
      <c r="P586" s="283"/>
      <c r="Q586" s="283"/>
      <c r="R586" s="283"/>
      <c r="S586" s="283"/>
      <c r="T586" s="283"/>
      <c r="U586" s="283"/>
      <c r="V586" s="283"/>
      <c r="W586" s="283"/>
      <c r="X586" s="283"/>
    </row>
    <row r="587" spans="1:24" ht="13.5" customHeight="1" x14ac:dyDescent="0.2">
      <c r="A587" s="283"/>
      <c r="B587" s="283"/>
      <c r="C587" s="283"/>
      <c r="D587" s="283"/>
      <c r="E587" s="283"/>
      <c r="F587" s="283"/>
      <c r="G587" s="283"/>
      <c r="H587" s="283"/>
      <c r="I587" s="283"/>
      <c r="J587" s="283"/>
      <c r="K587" s="283"/>
      <c r="L587" s="283"/>
      <c r="M587" s="283"/>
      <c r="N587" s="283"/>
      <c r="O587" s="283"/>
      <c r="P587" s="283"/>
      <c r="Q587" s="283"/>
      <c r="R587" s="283"/>
      <c r="S587" s="283"/>
      <c r="T587" s="283"/>
      <c r="U587" s="283"/>
      <c r="V587" s="283"/>
      <c r="W587" s="283"/>
      <c r="X587" s="283"/>
    </row>
    <row r="588" spans="1:24" ht="13.5" customHeight="1" x14ac:dyDescent="0.2">
      <c r="A588" s="283"/>
      <c r="B588" s="283"/>
      <c r="C588" s="283"/>
      <c r="D588" s="283"/>
      <c r="E588" s="283"/>
      <c r="F588" s="283"/>
      <c r="G588" s="283"/>
      <c r="H588" s="283"/>
      <c r="I588" s="283"/>
      <c r="J588" s="283"/>
      <c r="K588" s="283"/>
      <c r="L588" s="283"/>
      <c r="M588" s="283"/>
      <c r="N588" s="283"/>
      <c r="O588" s="283"/>
      <c r="P588" s="283"/>
      <c r="Q588" s="283"/>
      <c r="R588" s="283"/>
      <c r="S588" s="283"/>
      <c r="T588" s="283"/>
      <c r="U588" s="283"/>
      <c r="V588" s="283"/>
      <c r="W588" s="283"/>
      <c r="X588" s="283"/>
    </row>
    <row r="589" spans="1:24" ht="13.5" customHeight="1" x14ac:dyDescent="0.2">
      <c r="A589" s="283"/>
      <c r="B589" s="283"/>
      <c r="C589" s="283"/>
      <c r="D589" s="283"/>
      <c r="E589" s="283"/>
      <c r="F589" s="283"/>
      <c r="G589" s="283"/>
      <c r="H589" s="283"/>
      <c r="I589" s="283"/>
      <c r="J589" s="283"/>
      <c r="K589" s="283"/>
      <c r="L589" s="283"/>
      <c r="M589" s="283"/>
      <c r="N589" s="283"/>
      <c r="O589" s="283"/>
      <c r="P589" s="283"/>
      <c r="Q589" s="283"/>
      <c r="R589" s="283"/>
      <c r="S589" s="283"/>
      <c r="T589" s="283"/>
      <c r="U589" s="283"/>
      <c r="V589" s="283"/>
      <c r="W589" s="283"/>
      <c r="X589" s="283"/>
    </row>
    <row r="590" spans="1:24" ht="13.5" customHeight="1" x14ac:dyDescent="0.2">
      <c r="A590" s="283"/>
      <c r="B590" s="283"/>
      <c r="C590" s="283"/>
      <c r="D590" s="283"/>
      <c r="E590" s="283"/>
      <c r="F590" s="283"/>
      <c r="G590" s="283"/>
      <c r="H590" s="283"/>
      <c r="I590" s="283"/>
      <c r="J590" s="283"/>
      <c r="K590" s="283"/>
      <c r="L590" s="283"/>
      <c r="M590" s="283"/>
      <c r="N590" s="283"/>
      <c r="O590" s="283"/>
      <c r="P590" s="283"/>
      <c r="Q590" s="283"/>
      <c r="R590" s="283"/>
      <c r="S590" s="283"/>
      <c r="T590" s="283"/>
      <c r="U590" s="283"/>
      <c r="V590" s="283"/>
      <c r="W590" s="283"/>
      <c r="X590" s="283"/>
    </row>
    <row r="591" spans="1:24" ht="13.5" customHeight="1" x14ac:dyDescent="0.2">
      <c r="A591" s="283"/>
      <c r="B591" s="283"/>
      <c r="C591" s="283"/>
      <c r="D591" s="283"/>
      <c r="E591" s="283"/>
      <c r="F591" s="283"/>
      <c r="G591" s="283"/>
      <c r="H591" s="283"/>
      <c r="I591" s="283"/>
      <c r="J591" s="283"/>
      <c r="K591" s="283"/>
      <c r="L591" s="283"/>
      <c r="M591" s="283"/>
      <c r="N591" s="283"/>
      <c r="O591" s="283"/>
      <c r="P591" s="283"/>
      <c r="Q591" s="283"/>
      <c r="R591" s="283"/>
      <c r="S591" s="283"/>
      <c r="T591" s="283"/>
      <c r="U591" s="283"/>
      <c r="V591" s="283"/>
      <c r="W591" s="283"/>
      <c r="X591" s="283"/>
    </row>
    <row r="592" spans="1:24" ht="13.5" customHeight="1" x14ac:dyDescent="0.2">
      <c r="A592" s="283"/>
      <c r="B592" s="283"/>
      <c r="C592" s="283"/>
      <c r="D592" s="283"/>
      <c r="E592" s="283"/>
      <c r="F592" s="283"/>
      <c r="G592" s="283"/>
      <c r="H592" s="283"/>
      <c r="I592" s="283"/>
      <c r="J592" s="283"/>
      <c r="K592" s="283"/>
      <c r="L592" s="283"/>
      <c r="M592" s="283"/>
      <c r="N592" s="283"/>
      <c r="O592" s="283"/>
      <c r="P592" s="283"/>
      <c r="Q592" s="283"/>
      <c r="R592" s="283"/>
      <c r="S592" s="283"/>
      <c r="T592" s="283"/>
      <c r="U592" s="283"/>
      <c r="V592" s="283"/>
      <c r="W592" s="283"/>
      <c r="X592" s="283"/>
    </row>
    <row r="593" spans="1:24" ht="13.5" customHeight="1" x14ac:dyDescent="0.2">
      <c r="A593" s="283"/>
      <c r="B593" s="283"/>
      <c r="C593" s="283"/>
      <c r="D593" s="283"/>
      <c r="E593" s="283"/>
      <c r="F593" s="283"/>
      <c r="G593" s="283"/>
      <c r="H593" s="283"/>
      <c r="I593" s="283"/>
      <c r="J593" s="283"/>
      <c r="K593" s="283"/>
      <c r="L593" s="283"/>
      <c r="M593" s="283"/>
      <c r="N593" s="283"/>
      <c r="O593" s="283"/>
      <c r="P593" s="283"/>
      <c r="Q593" s="283"/>
      <c r="R593" s="283"/>
      <c r="S593" s="283"/>
      <c r="T593" s="283"/>
      <c r="U593" s="283"/>
      <c r="V593" s="283"/>
      <c r="W593" s="283"/>
      <c r="X593" s="283"/>
    </row>
    <row r="594" spans="1:24" ht="13.5" customHeight="1" x14ac:dyDescent="0.2">
      <c r="A594" s="283"/>
      <c r="B594" s="283"/>
      <c r="C594" s="283"/>
      <c r="D594" s="283"/>
      <c r="E594" s="283"/>
      <c r="F594" s="283"/>
      <c r="G594" s="283"/>
      <c r="H594" s="283"/>
      <c r="I594" s="283"/>
      <c r="J594" s="283"/>
      <c r="K594" s="283"/>
      <c r="L594" s="283"/>
      <c r="M594" s="283"/>
      <c r="N594" s="283"/>
      <c r="O594" s="283"/>
      <c r="P594" s="283"/>
      <c r="Q594" s="283"/>
      <c r="R594" s="283"/>
      <c r="S594" s="283"/>
      <c r="T594" s="283"/>
      <c r="U594" s="283"/>
      <c r="V594" s="283"/>
      <c r="W594" s="283"/>
      <c r="X594" s="283"/>
    </row>
    <row r="595" spans="1:24" ht="13.5" customHeight="1" x14ac:dyDescent="0.2">
      <c r="A595" s="283"/>
      <c r="B595" s="283"/>
      <c r="C595" s="283"/>
      <c r="D595" s="283"/>
      <c r="E595" s="283"/>
      <c r="F595" s="283"/>
      <c r="G595" s="283"/>
      <c r="H595" s="283"/>
      <c r="I595" s="283"/>
      <c r="J595" s="283"/>
      <c r="K595" s="283"/>
      <c r="L595" s="283"/>
      <c r="M595" s="283"/>
      <c r="N595" s="283"/>
      <c r="O595" s="283"/>
      <c r="P595" s="283"/>
      <c r="Q595" s="283"/>
      <c r="R595" s="283"/>
      <c r="S595" s="283"/>
      <c r="T595" s="283"/>
      <c r="U595" s="283"/>
      <c r="V595" s="283"/>
      <c r="W595" s="283"/>
      <c r="X595" s="283"/>
    </row>
    <row r="596" spans="1:24" ht="13.5" customHeight="1" x14ac:dyDescent="0.2">
      <c r="A596" s="283"/>
      <c r="B596" s="283"/>
      <c r="C596" s="283"/>
      <c r="D596" s="283"/>
      <c r="E596" s="283"/>
      <c r="F596" s="283"/>
      <c r="G596" s="283"/>
      <c r="H596" s="283"/>
      <c r="I596" s="283"/>
      <c r="J596" s="283"/>
      <c r="K596" s="283"/>
      <c r="L596" s="283"/>
      <c r="M596" s="283"/>
      <c r="N596" s="283"/>
      <c r="O596" s="283"/>
      <c r="P596" s="283"/>
      <c r="Q596" s="283"/>
      <c r="R596" s="283"/>
      <c r="S596" s="283"/>
      <c r="T596" s="283"/>
      <c r="U596" s="283"/>
      <c r="V596" s="283"/>
      <c r="W596" s="283"/>
      <c r="X596" s="283"/>
    </row>
    <row r="597" spans="1:24" ht="13.5" customHeight="1" x14ac:dyDescent="0.2">
      <c r="A597" s="283"/>
      <c r="B597" s="283"/>
      <c r="C597" s="283"/>
      <c r="D597" s="283"/>
      <c r="E597" s="283"/>
      <c r="F597" s="283"/>
      <c r="G597" s="283"/>
      <c r="H597" s="283"/>
      <c r="I597" s="283"/>
      <c r="J597" s="283"/>
      <c r="K597" s="283"/>
      <c r="L597" s="283"/>
      <c r="M597" s="283"/>
      <c r="N597" s="283"/>
      <c r="O597" s="283"/>
      <c r="P597" s="283"/>
      <c r="Q597" s="283"/>
      <c r="R597" s="283"/>
      <c r="S597" s="283"/>
      <c r="T597" s="283"/>
      <c r="U597" s="283"/>
      <c r="V597" s="283"/>
      <c r="W597" s="283"/>
      <c r="X597" s="283"/>
    </row>
    <row r="598" spans="1:24" ht="13.5" customHeight="1" x14ac:dyDescent="0.2">
      <c r="A598" s="283"/>
      <c r="B598" s="283"/>
      <c r="C598" s="283"/>
      <c r="D598" s="283"/>
      <c r="E598" s="283"/>
      <c r="F598" s="283"/>
      <c r="G598" s="283"/>
      <c r="H598" s="283"/>
      <c r="I598" s="283"/>
      <c r="J598" s="283"/>
      <c r="K598" s="283"/>
      <c r="L598" s="283"/>
      <c r="M598" s="283"/>
      <c r="N598" s="283"/>
      <c r="O598" s="283"/>
      <c r="P598" s="283"/>
      <c r="Q598" s="283"/>
      <c r="R598" s="283"/>
      <c r="S598" s="283"/>
      <c r="T598" s="283"/>
      <c r="U598" s="283"/>
      <c r="V598" s="283"/>
      <c r="W598" s="283"/>
      <c r="X598" s="283"/>
    </row>
    <row r="599" spans="1:24" ht="13.5" customHeight="1" x14ac:dyDescent="0.2">
      <c r="A599" s="283"/>
      <c r="B599" s="283"/>
      <c r="C599" s="283"/>
      <c r="D599" s="283"/>
      <c r="E599" s="283"/>
      <c r="F599" s="283"/>
      <c r="G599" s="283"/>
      <c r="H599" s="283"/>
      <c r="I599" s="283"/>
      <c r="J599" s="283"/>
      <c r="K599" s="283"/>
      <c r="L599" s="283"/>
      <c r="M599" s="283"/>
      <c r="N599" s="283"/>
      <c r="O599" s="283"/>
      <c r="P599" s="283"/>
      <c r="Q599" s="283"/>
      <c r="R599" s="283"/>
      <c r="S599" s="283"/>
      <c r="T599" s="283"/>
      <c r="U599" s="283"/>
      <c r="V599" s="283"/>
      <c r="W599" s="283"/>
      <c r="X599" s="283"/>
    </row>
    <row r="600" spans="1:24" ht="13.5" customHeight="1" x14ac:dyDescent="0.2">
      <c r="A600" s="283"/>
      <c r="B600" s="283"/>
      <c r="C600" s="283"/>
      <c r="D600" s="283"/>
      <c r="E600" s="283"/>
      <c r="F600" s="283"/>
      <c r="G600" s="283"/>
      <c r="H600" s="283"/>
      <c r="I600" s="283"/>
      <c r="J600" s="283"/>
      <c r="K600" s="283"/>
      <c r="L600" s="283"/>
      <c r="M600" s="283"/>
      <c r="N600" s="283"/>
      <c r="O600" s="283"/>
      <c r="P600" s="283"/>
      <c r="Q600" s="283"/>
      <c r="R600" s="283"/>
      <c r="S600" s="283"/>
      <c r="T600" s="283"/>
      <c r="U600" s="283"/>
      <c r="V600" s="283"/>
      <c r="W600" s="283"/>
      <c r="X600" s="283"/>
    </row>
    <row r="601" spans="1:24" ht="13.5" customHeight="1" x14ac:dyDescent="0.2">
      <c r="A601" s="283"/>
      <c r="B601" s="283"/>
      <c r="C601" s="283"/>
      <c r="D601" s="283"/>
      <c r="E601" s="283"/>
      <c r="F601" s="283"/>
      <c r="G601" s="283"/>
      <c r="H601" s="283"/>
      <c r="I601" s="283"/>
      <c r="J601" s="283"/>
      <c r="K601" s="283"/>
      <c r="L601" s="283"/>
      <c r="M601" s="283"/>
      <c r="N601" s="283"/>
      <c r="O601" s="283"/>
      <c r="P601" s="283"/>
      <c r="Q601" s="283"/>
      <c r="R601" s="283"/>
      <c r="S601" s="283"/>
      <c r="T601" s="283"/>
      <c r="U601" s="283"/>
      <c r="V601" s="283"/>
      <c r="W601" s="283"/>
      <c r="X601" s="283"/>
    </row>
    <row r="602" spans="1:24" ht="13.5" customHeight="1" x14ac:dyDescent="0.2">
      <c r="A602" s="283"/>
      <c r="B602" s="283"/>
      <c r="C602" s="283"/>
      <c r="D602" s="283"/>
      <c r="E602" s="283"/>
      <c r="F602" s="283"/>
      <c r="G602" s="283"/>
      <c r="H602" s="283"/>
      <c r="I602" s="283"/>
      <c r="J602" s="283"/>
      <c r="K602" s="283"/>
      <c r="L602" s="283"/>
      <c r="M602" s="283"/>
      <c r="N602" s="283"/>
      <c r="O602" s="283"/>
      <c r="P602" s="283"/>
      <c r="Q602" s="283"/>
      <c r="R602" s="283"/>
      <c r="S602" s="283"/>
      <c r="T602" s="283"/>
      <c r="U602" s="283"/>
      <c r="V602" s="283"/>
      <c r="W602" s="283"/>
      <c r="X602" s="283"/>
    </row>
    <row r="603" spans="1:24" ht="13.5" customHeight="1" x14ac:dyDescent="0.2">
      <c r="A603" s="283"/>
      <c r="B603" s="283"/>
      <c r="C603" s="283"/>
      <c r="D603" s="283"/>
      <c r="E603" s="283"/>
      <c r="F603" s="283"/>
      <c r="G603" s="283"/>
      <c r="H603" s="283"/>
      <c r="I603" s="283"/>
      <c r="J603" s="283"/>
      <c r="K603" s="283"/>
      <c r="L603" s="283"/>
      <c r="M603" s="283"/>
      <c r="N603" s="283"/>
      <c r="O603" s="283"/>
      <c r="P603" s="283"/>
      <c r="Q603" s="283"/>
      <c r="R603" s="283"/>
      <c r="S603" s="283"/>
      <c r="T603" s="283"/>
      <c r="U603" s="283"/>
      <c r="V603" s="283"/>
      <c r="W603" s="283"/>
      <c r="X603" s="283"/>
    </row>
    <row r="604" spans="1:24" ht="13.5" customHeight="1" x14ac:dyDescent="0.2">
      <c r="A604" s="283"/>
      <c r="B604" s="283"/>
      <c r="C604" s="283"/>
      <c r="D604" s="283"/>
      <c r="E604" s="283"/>
      <c r="F604" s="283"/>
      <c r="G604" s="283"/>
      <c r="H604" s="283"/>
      <c r="I604" s="283"/>
      <c r="J604" s="283"/>
      <c r="K604" s="283"/>
      <c r="L604" s="283"/>
      <c r="M604" s="283"/>
      <c r="N604" s="283"/>
      <c r="O604" s="283"/>
      <c r="P604" s="283"/>
      <c r="Q604" s="283"/>
      <c r="R604" s="283"/>
      <c r="S604" s="283"/>
      <c r="T604" s="283"/>
      <c r="U604" s="283"/>
      <c r="V604" s="283"/>
      <c r="W604" s="283"/>
      <c r="X604" s="283"/>
    </row>
    <row r="605" spans="1:24" ht="13.5" customHeight="1" x14ac:dyDescent="0.2">
      <c r="A605" s="283"/>
      <c r="B605" s="283"/>
      <c r="C605" s="283"/>
      <c r="D605" s="283"/>
      <c r="E605" s="283"/>
      <c r="F605" s="283"/>
      <c r="G605" s="283"/>
      <c r="H605" s="283"/>
      <c r="I605" s="283"/>
      <c r="J605" s="283"/>
      <c r="K605" s="283"/>
      <c r="L605" s="283"/>
      <c r="M605" s="283"/>
      <c r="N605" s="283"/>
      <c r="O605" s="283"/>
      <c r="P605" s="283"/>
      <c r="Q605" s="283"/>
      <c r="R605" s="283"/>
      <c r="S605" s="283"/>
      <c r="T605" s="283"/>
      <c r="U605" s="283"/>
      <c r="V605" s="283"/>
      <c r="W605" s="283"/>
      <c r="X605" s="283"/>
    </row>
    <row r="606" spans="1:24" ht="13.5" customHeight="1" x14ac:dyDescent="0.2">
      <c r="A606" s="283"/>
      <c r="B606" s="283"/>
      <c r="C606" s="283"/>
      <c r="D606" s="283"/>
      <c r="E606" s="283"/>
      <c r="F606" s="283"/>
      <c r="G606" s="283"/>
      <c r="H606" s="283"/>
      <c r="I606" s="283"/>
      <c r="J606" s="283"/>
      <c r="K606" s="283"/>
      <c r="L606" s="283"/>
      <c r="M606" s="283"/>
      <c r="N606" s="283"/>
      <c r="O606" s="283"/>
      <c r="P606" s="283"/>
      <c r="Q606" s="283"/>
      <c r="R606" s="283"/>
      <c r="S606" s="283"/>
      <c r="T606" s="283"/>
      <c r="U606" s="283"/>
      <c r="V606" s="283"/>
      <c r="W606" s="283"/>
      <c r="X606" s="283"/>
    </row>
    <row r="607" spans="1:24" ht="13.5" customHeight="1" x14ac:dyDescent="0.2">
      <c r="A607" s="283"/>
      <c r="B607" s="283"/>
      <c r="C607" s="283"/>
      <c r="D607" s="283"/>
      <c r="E607" s="283"/>
      <c r="F607" s="283"/>
      <c r="G607" s="283"/>
      <c r="H607" s="283"/>
      <c r="I607" s="283"/>
      <c r="J607" s="283"/>
      <c r="K607" s="283"/>
      <c r="L607" s="283"/>
      <c r="M607" s="283"/>
      <c r="N607" s="283"/>
      <c r="O607" s="283"/>
      <c r="P607" s="283"/>
      <c r="Q607" s="283"/>
      <c r="R607" s="283"/>
      <c r="S607" s="283"/>
      <c r="T607" s="283"/>
      <c r="U607" s="283"/>
      <c r="V607" s="283"/>
      <c r="W607" s="283"/>
      <c r="X607" s="283"/>
    </row>
    <row r="608" spans="1:24" ht="13.5" customHeight="1" x14ac:dyDescent="0.2">
      <c r="A608" s="283"/>
      <c r="B608" s="283"/>
      <c r="C608" s="283"/>
      <c r="D608" s="283"/>
      <c r="E608" s="283"/>
      <c r="F608" s="283"/>
      <c r="G608" s="283"/>
      <c r="H608" s="283"/>
      <c r="I608" s="283"/>
      <c r="J608" s="283"/>
      <c r="K608" s="283"/>
      <c r="L608" s="283"/>
      <c r="M608" s="283"/>
      <c r="N608" s="283"/>
      <c r="O608" s="283"/>
      <c r="P608" s="283"/>
      <c r="Q608" s="283"/>
      <c r="R608" s="283"/>
      <c r="S608" s="283"/>
      <c r="T608" s="283"/>
      <c r="U608" s="283"/>
      <c r="V608" s="283"/>
      <c r="W608" s="283"/>
      <c r="X608" s="283"/>
    </row>
    <row r="609" spans="1:24" ht="13.5" customHeight="1" x14ac:dyDescent="0.2">
      <c r="A609" s="283"/>
      <c r="B609" s="283"/>
      <c r="C609" s="283"/>
      <c r="D609" s="283"/>
      <c r="E609" s="283"/>
      <c r="F609" s="283"/>
      <c r="G609" s="283"/>
      <c r="H609" s="283"/>
      <c r="I609" s="283"/>
      <c r="J609" s="283"/>
      <c r="K609" s="283"/>
      <c r="L609" s="283"/>
      <c r="M609" s="283"/>
      <c r="N609" s="283"/>
      <c r="O609" s="283"/>
      <c r="P609" s="283"/>
      <c r="Q609" s="283"/>
      <c r="R609" s="283"/>
      <c r="S609" s="283"/>
      <c r="T609" s="283"/>
      <c r="U609" s="283"/>
      <c r="V609" s="283"/>
      <c r="W609" s="283"/>
      <c r="X609" s="283"/>
    </row>
    <row r="610" spans="1:24" ht="13.5" customHeight="1" x14ac:dyDescent="0.2">
      <c r="A610" s="283"/>
      <c r="B610" s="283"/>
      <c r="C610" s="283"/>
      <c r="D610" s="283"/>
      <c r="E610" s="283"/>
      <c r="F610" s="283"/>
      <c r="G610" s="283"/>
      <c r="H610" s="283"/>
      <c r="I610" s="283"/>
      <c r="J610" s="283"/>
      <c r="K610" s="283"/>
      <c r="L610" s="283"/>
      <c r="M610" s="283"/>
      <c r="N610" s="283"/>
      <c r="O610" s="283"/>
      <c r="P610" s="283"/>
      <c r="Q610" s="283"/>
      <c r="R610" s="283"/>
      <c r="S610" s="283"/>
      <c r="T610" s="283"/>
      <c r="U610" s="283"/>
      <c r="V610" s="283"/>
      <c r="W610" s="283"/>
      <c r="X610" s="283"/>
    </row>
    <row r="611" spans="1:24" ht="13.5" customHeight="1" x14ac:dyDescent="0.2">
      <c r="A611" s="283"/>
      <c r="B611" s="283"/>
      <c r="C611" s="283"/>
      <c r="D611" s="283"/>
      <c r="E611" s="283"/>
      <c r="F611" s="283"/>
      <c r="G611" s="283"/>
      <c r="H611" s="283"/>
      <c r="I611" s="283"/>
      <c r="J611" s="283"/>
      <c r="K611" s="283"/>
      <c r="L611" s="283"/>
      <c r="M611" s="283"/>
      <c r="N611" s="283"/>
      <c r="O611" s="283"/>
      <c r="P611" s="283"/>
      <c r="Q611" s="283"/>
      <c r="R611" s="283"/>
      <c r="S611" s="283"/>
      <c r="T611" s="283"/>
      <c r="U611" s="283"/>
      <c r="V611" s="283"/>
      <c r="W611" s="283"/>
      <c r="X611" s="283"/>
    </row>
    <row r="612" spans="1:24" ht="13.5" customHeight="1" x14ac:dyDescent="0.2">
      <c r="A612" s="283"/>
      <c r="B612" s="283"/>
      <c r="C612" s="283"/>
      <c r="D612" s="283"/>
      <c r="E612" s="283"/>
      <c r="F612" s="283"/>
      <c r="G612" s="283"/>
      <c r="H612" s="283"/>
      <c r="I612" s="283"/>
      <c r="J612" s="283"/>
      <c r="K612" s="283"/>
      <c r="L612" s="283"/>
      <c r="M612" s="283"/>
      <c r="N612" s="283"/>
      <c r="O612" s="283"/>
      <c r="P612" s="283"/>
      <c r="Q612" s="283"/>
      <c r="R612" s="283"/>
      <c r="S612" s="283"/>
      <c r="T612" s="283"/>
      <c r="U612" s="283"/>
      <c r="V612" s="283"/>
      <c r="W612" s="283"/>
      <c r="X612" s="283"/>
    </row>
    <row r="613" spans="1:24" ht="13.5" customHeight="1" x14ac:dyDescent="0.2">
      <c r="A613" s="283"/>
      <c r="B613" s="283"/>
      <c r="C613" s="283"/>
      <c r="D613" s="283"/>
      <c r="E613" s="283"/>
      <c r="F613" s="283"/>
      <c r="G613" s="283"/>
      <c r="H613" s="283"/>
      <c r="I613" s="283"/>
      <c r="J613" s="283"/>
      <c r="K613" s="283"/>
      <c r="L613" s="283"/>
      <c r="M613" s="283"/>
      <c r="N613" s="283"/>
      <c r="O613" s="283"/>
      <c r="P613" s="283"/>
      <c r="Q613" s="283"/>
      <c r="R613" s="283"/>
      <c r="S613" s="283"/>
      <c r="T613" s="283"/>
      <c r="U613" s="283"/>
      <c r="V613" s="283"/>
      <c r="W613" s="283"/>
      <c r="X613" s="283"/>
    </row>
    <row r="614" spans="1:24" ht="13.5" customHeight="1" x14ac:dyDescent="0.2">
      <c r="A614" s="283"/>
      <c r="B614" s="283"/>
      <c r="C614" s="283"/>
      <c r="D614" s="283"/>
      <c r="E614" s="283"/>
      <c r="F614" s="283"/>
      <c r="G614" s="283"/>
      <c r="H614" s="283"/>
      <c r="I614" s="283"/>
      <c r="J614" s="283"/>
      <c r="K614" s="283"/>
      <c r="L614" s="283"/>
      <c r="M614" s="283"/>
      <c r="N614" s="283"/>
      <c r="O614" s="283"/>
      <c r="P614" s="283"/>
      <c r="Q614" s="283"/>
      <c r="R614" s="283"/>
      <c r="S614" s="283"/>
      <c r="T614" s="283"/>
      <c r="U614" s="283"/>
      <c r="V614" s="283"/>
      <c r="W614" s="283"/>
      <c r="X614" s="283"/>
    </row>
    <row r="615" spans="1:24" ht="13.5" customHeight="1" x14ac:dyDescent="0.2">
      <c r="A615" s="283"/>
      <c r="B615" s="283"/>
      <c r="C615" s="283"/>
      <c r="D615" s="283"/>
      <c r="E615" s="283"/>
      <c r="F615" s="283"/>
      <c r="G615" s="283"/>
      <c r="H615" s="283"/>
      <c r="I615" s="283"/>
      <c r="J615" s="283"/>
      <c r="K615" s="283"/>
      <c r="L615" s="283"/>
      <c r="M615" s="283"/>
      <c r="N615" s="283"/>
      <c r="O615" s="283"/>
      <c r="P615" s="283"/>
      <c r="Q615" s="283"/>
      <c r="R615" s="283"/>
      <c r="S615" s="283"/>
      <c r="T615" s="283"/>
      <c r="U615" s="283"/>
      <c r="V615" s="283"/>
      <c r="W615" s="283"/>
      <c r="X615" s="283"/>
    </row>
    <row r="616" spans="1:24" ht="13.5" customHeight="1" x14ac:dyDescent="0.2">
      <c r="A616" s="283"/>
      <c r="B616" s="283"/>
      <c r="C616" s="283"/>
      <c r="D616" s="283"/>
      <c r="E616" s="283"/>
      <c r="F616" s="283"/>
      <c r="G616" s="283"/>
      <c r="H616" s="283"/>
      <c r="I616" s="283"/>
      <c r="J616" s="283"/>
      <c r="K616" s="283"/>
      <c r="L616" s="283"/>
      <c r="M616" s="283"/>
      <c r="N616" s="283"/>
      <c r="O616" s="283"/>
      <c r="P616" s="283"/>
      <c r="Q616" s="283"/>
      <c r="R616" s="283"/>
      <c r="S616" s="283"/>
      <c r="T616" s="283"/>
      <c r="U616" s="283"/>
      <c r="V616" s="283"/>
      <c r="W616" s="283"/>
      <c r="X616" s="283"/>
    </row>
    <row r="617" spans="1:24" ht="13.5" customHeight="1" x14ac:dyDescent="0.2">
      <c r="A617" s="283"/>
      <c r="B617" s="283"/>
      <c r="C617" s="283"/>
      <c r="D617" s="283"/>
      <c r="E617" s="283"/>
      <c r="F617" s="283"/>
      <c r="G617" s="283"/>
      <c r="H617" s="283"/>
      <c r="I617" s="283"/>
      <c r="J617" s="283"/>
      <c r="K617" s="283"/>
      <c r="L617" s="283"/>
      <c r="M617" s="283"/>
      <c r="N617" s="283"/>
      <c r="O617" s="283"/>
      <c r="P617" s="283"/>
      <c r="Q617" s="283"/>
      <c r="R617" s="283"/>
      <c r="S617" s="283"/>
      <c r="T617" s="283"/>
      <c r="U617" s="283"/>
      <c r="V617" s="283"/>
      <c r="W617" s="283"/>
      <c r="X617" s="283"/>
    </row>
    <row r="618" spans="1:24" ht="13.5" customHeight="1" x14ac:dyDescent="0.2">
      <c r="A618" s="283"/>
      <c r="B618" s="283"/>
      <c r="C618" s="283"/>
      <c r="D618" s="283"/>
      <c r="E618" s="283"/>
      <c r="F618" s="283"/>
      <c r="G618" s="283"/>
      <c r="H618" s="283"/>
      <c r="I618" s="283"/>
      <c r="J618" s="283"/>
      <c r="K618" s="283"/>
      <c r="L618" s="283"/>
      <c r="M618" s="283"/>
      <c r="N618" s="283"/>
      <c r="O618" s="283"/>
      <c r="P618" s="283"/>
      <c r="Q618" s="283"/>
      <c r="R618" s="283"/>
      <c r="S618" s="283"/>
      <c r="T618" s="283"/>
      <c r="U618" s="283"/>
      <c r="V618" s="283"/>
      <c r="W618" s="283"/>
      <c r="X618" s="283"/>
    </row>
    <row r="619" spans="1:24" ht="13.5" customHeight="1" x14ac:dyDescent="0.2">
      <c r="A619" s="283"/>
      <c r="B619" s="283"/>
      <c r="C619" s="283"/>
      <c r="D619" s="283"/>
      <c r="E619" s="283"/>
      <c r="F619" s="283"/>
      <c r="G619" s="283"/>
      <c r="H619" s="283"/>
      <c r="I619" s="283"/>
      <c r="J619" s="283"/>
      <c r="K619" s="283"/>
      <c r="L619" s="283"/>
      <c r="M619" s="283"/>
      <c r="N619" s="283"/>
      <c r="O619" s="283"/>
      <c r="P619" s="283"/>
      <c r="Q619" s="283"/>
      <c r="R619" s="283"/>
      <c r="S619" s="283"/>
      <c r="T619" s="283"/>
      <c r="U619" s="283"/>
      <c r="V619" s="283"/>
      <c r="W619" s="283"/>
      <c r="X619" s="283"/>
    </row>
    <row r="620" spans="1:24" ht="13.5" customHeight="1" x14ac:dyDescent="0.2">
      <c r="A620" s="283"/>
      <c r="B620" s="283"/>
      <c r="C620" s="283"/>
      <c r="D620" s="283"/>
      <c r="E620" s="283"/>
      <c r="F620" s="283"/>
      <c r="G620" s="283"/>
      <c r="H620" s="283"/>
      <c r="I620" s="283"/>
      <c r="J620" s="283"/>
      <c r="K620" s="283"/>
      <c r="L620" s="283"/>
      <c r="M620" s="283"/>
      <c r="N620" s="283"/>
      <c r="O620" s="283"/>
      <c r="P620" s="283"/>
      <c r="Q620" s="283"/>
      <c r="R620" s="283"/>
      <c r="S620" s="283"/>
      <c r="T620" s="283"/>
      <c r="U620" s="283"/>
      <c r="V620" s="283"/>
      <c r="W620" s="283"/>
      <c r="X620" s="283"/>
    </row>
    <row r="621" spans="1:24" ht="13.5" customHeight="1" x14ac:dyDescent="0.2">
      <c r="A621" s="283"/>
      <c r="B621" s="283"/>
      <c r="C621" s="283"/>
      <c r="D621" s="283"/>
      <c r="E621" s="283"/>
      <c r="F621" s="283"/>
      <c r="G621" s="283"/>
      <c r="H621" s="283"/>
      <c r="I621" s="283"/>
      <c r="J621" s="283"/>
      <c r="K621" s="283"/>
      <c r="L621" s="283"/>
      <c r="M621" s="283"/>
      <c r="N621" s="283"/>
      <c r="O621" s="283"/>
      <c r="P621" s="283"/>
      <c r="Q621" s="283"/>
      <c r="R621" s="283"/>
      <c r="S621" s="283"/>
      <c r="T621" s="283"/>
      <c r="U621" s="283"/>
      <c r="V621" s="283"/>
      <c r="W621" s="283"/>
      <c r="X621" s="283"/>
    </row>
    <row r="622" spans="1:24" ht="13.5" customHeight="1" x14ac:dyDescent="0.2">
      <c r="A622" s="283"/>
      <c r="B622" s="283"/>
      <c r="C622" s="283"/>
      <c r="D622" s="283"/>
      <c r="E622" s="283"/>
      <c r="F622" s="283"/>
      <c r="G622" s="283"/>
      <c r="H622" s="283"/>
      <c r="I622" s="283"/>
      <c r="J622" s="283"/>
      <c r="K622" s="283"/>
      <c r="L622" s="283"/>
      <c r="M622" s="283"/>
      <c r="N622" s="283"/>
      <c r="O622" s="283"/>
      <c r="P622" s="283"/>
      <c r="Q622" s="283"/>
      <c r="R622" s="283"/>
      <c r="S622" s="283"/>
      <c r="T622" s="283"/>
      <c r="U622" s="283"/>
      <c r="V622" s="283"/>
      <c r="W622" s="283"/>
      <c r="X622" s="283"/>
    </row>
    <row r="623" spans="1:24" ht="13.5" customHeight="1" x14ac:dyDescent="0.2">
      <c r="A623" s="283"/>
      <c r="B623" s="283"/>
      <c r="C623" s="283"/>
      <c r="D623" s="283"/>
      <c r="E623" s="283"/>
      <c r="F623" s="283"/>
      <c r="G623" s="283"/>
      <c r="H623" s="283"/>
      <c r="I623" s="283"/>
      <c r="J623" s="283"/>
      <c r="K623" s="283"/>
      <c r="L623" s="283"/>
      <c r="M623" s="283"/>
      <c r="N623" s="283"/>
      <c r="O623" s="283"/>
      <c r="P623" s="283"/>
      <c r="Q623" s="283"/>
      <c r="R623" s="283"/>
      <c r="S623" s="283"/>
      <c r="T623" s="283"/>
      <c r="U623" s="283"/>
      <c r="V623" s="283"/>
      <c r="W623" s="283"/>
      <c r="X623" s="283"/>
    </row>
    <row r="624" spans="1:24" ht="13.5" customHeight="1" x14ac:dyDescent="0.2">
      <c r="A624" s="283"/>
      <c r="B624" s="283"/>
      <c r="C624" s="283"/>
      <c r="D624" s="283"/>
      <c r="E624" s="283"/>
      <c r="F624" s="283"/>
      <c r="G624" s="283"/>
      <c r="H624" s="283"/>
      <c r="I624" s="283"/>
      <c r="J624" s="283"/>
      <c r="K624" s="283"/>
      <c r="L624" s="283"/>
      <c r="M624" s="283"/>
      <c r="N624" s="283"/>
      <c r="O624" s="283"/>
      <c r="P624" s="283"/>
      <c r="Q624" s="283"/>
      <c r="R624" s="283"/>
      <c r="S624" s="283"/>
      <c r="T624" s="283"/>
      <c r="U624" s="283"/>
      <c r="V624" s="283"/>
      <c r="W624" s="283"/>
      <c r="X624" s="283"/>
    </row>
    <row r="625" spans="1:24" ht="13.5" customHeight="1" x14ac:dyDescent="0.2">
      <c r="A625" s="283"/>
      <c r="B625" s="283"/>
      <c r="C625" s="283"/>
      <c r="D625" s="283"/>
      <c r="E625" s="283"/>
      <c r="F625" s="283"/>
      <c r="G625" s="283"/>
      <c r="H625" s="283"/>
      <c r="I625" s="283"/>
      <c r="J625" s="283"/>
      <c r="K625" s="283"/>
      <c r="L625" s="283"/>
      <c r="M625" s="283"/>
      <c r="N625" s="283"/>
      <c r="O625" s="283"/>
      <c r="P625" s="283"/>
      <c r="Q625" s="283"/>
      <c r="R625" s="283"/>
      <c r="S625" s="283"/>
      <c r="T625" s="283"/>
      <c r="U625" s="283"/>
      <c r="V625" s="283"/>
      <c r="W625" s="283"/>
      <c r="X625" s="283"/>
    </row>
    <row r="626" spans="1:24" ht="13.5" customHeight="1" x14ac:dyDescent="0.2">
      <c r="A626" s="283"/>
      <c r="B626" s="283"/>
      <c r="C626" s="283"/>
      <c r="D626" s="283"/>
      <c r="E626" s="283"/>
      <c r="F626" s="283"/>
      <c r="G626" s="283"/>
      <c r="H626" s="283"/>
      <c r="I626" s="283"/>
      <c r="J626" s="283"/>
      <c r="K626" s="283"/>
      <c r="L626" s="283"/>
      <c r="M626" s="283"/>
      <c r="N626" s="283"/>
      <c r="O626" s="283"/>
      <c r="P626" s="283"/>
      <c r="Q626" s="283"/>
      <c r="R626" s="283"/>
      <c r="S626" s="283"/>
      <c r="T626" s="283"/>
      <c r="U626" s="283"/>
      <c r="V626" s="283"/>
      <c r="W626" s="283"/>
      <c r="X626" s="283"/>
    </row>
    <row r="627" spans="1:24" ht="13.5" customHeight="1" x14ac:dyDescent="0.2">
      <c r="A627" s="283"/>
      <c r="B627" s="283"/>
      <c r="C627" s="283"/>
      <c r="D627" s="283"/>
      <c r="E627" s="283"/>
      <c r="F627" s="283"/>
      <c r="G627" s="283"/>
      <c r="H627" s="283"/>
      <c r="I627" s="283"/>
      <c r="J627" s="283"/>
      <c r="K627" s="283"/>
      <c r="L627" s="283"/>
      <c r="M627" s="283"/>
      <c r="N627" s="283"/>
      <c r="O627" s="283"/>
      <c r="P627" s="283"/>
      <c r="Q627" s="283"/>
      <c r="R627" s="283"/>
      <c r="S627" s="283"/>
      <c r="T627" s="283"/>
      <c r="U627" s="283"/>
      <c r="V627" s="283"/>
      <c r="W627" s="283"/>
      <c r="X627" s="283"/>
    </row>
    <row r="628" spans="1:24" ht="13.5" customHeight="1" x14ac:dyDescent="0.2">
      <c r="A628" s="283"/>
      <c r="B628" s="283"/>
      <c r="C628" s="283"/>
      <c r="D628" s="283"/>
      <c r="E628" s="283"/>
      <c r="F628" s="283"/>
      <c r="G628" s="283"/>
      <c r="H628" s="283"/>
      <c r="I628" s="283"/>
      <c r="J628" s="283"/>
      <c r="K628" s="283"/>
      <c r="L628" s="283"/>
      <c r="M628" s="283"/>
      <c r="N628" s="283"/>
      <c r="O628" s="283"/>
      <c r="P628" s="283"/>
      <c r="Q628" s="283"/>
      <c r="R628" s="283"/>
      <c r="S628" s="283"/>
      <c r="T628" s="283"/>
      <c r="U628" s="283"/>
      <c r="V628" s="283"/>
      <c r="W628" s="283"/>
      <c r="X628" s="283"/>
    </row>
    <row r="629" spans="1:24" ht="13.5" customHeight="1" x14ac:dyDescent="0.2">
      <c r="A629" s="283"/>
      <c r="B629" s="283"/>
      <c r="C629" s="283"/>
      <c r="D629" s="283"/>
      <c r="E629" s="283"/>
      <c r="F629" s="283"/>
      <c r="G629" s="283"/>
      <c r="H629" s="283"/>
      <c r="I629" s="283"/>
      <c r="J629" s="283"/>
      <c r="K629" s="283"/>
      <c r="L629" s="283"/>
      <c r="M629" s="283"/>
      <c r="N629" s="283"/>
      <c r="O629" s="283"/>
      <c r="P629" s="283"/>
      <c r="Q629" s="283"/>
      <c r="R629" s="283"/>
      <c r="S629" s="283"/>
      <c r="T629" s="283"/>
      <c r="U629" s="283"/>
      <c r="V629" s="283"/>
      <c r="W629" s="283"/>
      <c r="X629" s="283"/>
    </row>
    <row r="630" spans="1:24" ht="13.5" customHeight="1" x14ac:dyDescent="0.2">
      <c r="A630" s="283"/>
      <c r="B630" s="283"/>
      <c r="C630" s="283"/>
      <c r="D630" s="283"/>
      <c r="E630" s="283"/>
      <c r="F630" s="283"/>
      <c r="G630" s="283"/>
      <c r="H630" s="283"/>
      <c r="I630" s="283"/>
      <c r="J630" s="283"/>
      <c r="K630" s="283"/>
      <c r="L630" s="283"/>
      <c r="M630" s="283"/>
      <c r="N630" s="283"/>
      <c r="O630" s="283"/>
      <c r="P630" s="283"/>
      <c r="Q630" s="283"/>
      <c r="R630" s="283"/>
      <c r="S630" s="283"/>
      <c r="T630" s="283"/>
      <c r="U630" s="283"/>
      <c r="V630" s="283"/>
      <c r="W630" s="283"/>
      <c r="X630" s="283"/>
    </row>
    <row r="631" spans="1:24" ht="13.5" customHeight="1" x14ac:dyDescent="0.2">
      <c r="A631" s="283"/>
      <c r="B631" s="283"/>
      <c r="C631" s="283"/>
      <c r="D631" s="283"/>
      <c r="E631" s="283"/>
      <c r="F631" s="283"/>
      <c r="G631" s="283"/>
      <c r="H631" s="283"/>
      <c r="I631" s="283"/>
      <c r="J631" s="283"/>
      <c r="K631" s="283"/>
      <c r="L631" s="283"/>
      <c r="M631" s="283"/>
      <c r="N631" s="283"/>
      <c r="O631" s="283"/>
      <c r="P631" s="283"/>
      <c r="Q631" s="283"/>
      <c r="R631" s="283"/>
      <c r="S631" s="283"/>
      <c r="T631" s="283"/>
      <c r="U631" s="283"/>
      <c r="V631" s="283"/>
      <c r="W631" s="283"/>
      <c r="X631" s="283"/>
    </row>
    <row r="632" spans="1:24" ht="13.5" customHeight="1" x14ac:dyDescent="0.2">
      <c r="A632" s="283"/>
      <c r="B632" s="283"/>
      <c r="C632" s="283"/>
      <c r="D632" s="283"/>
      <c r="E632" s="283"/>
      <c r="F632" s="283"/>
      <c r="G632" s="283"/>
      <c r="H632" s="283"/>
      <c r="I632" s="283"/>
      <c r="J632" s="283"/>
      <c r="K632" s="283"/>
      <c r="L632" s="283"/>
      <c r="M632" s="283"/>
      <c r="N632" s="283"/>
      <c r="O632" s="283"/>
      <c r="P632" s="283"/>
      <c r="Q632" s="283"/>
      <c r="R632" s="283"/>
      <c r="S632" s="283"/>
      <c r="T632" s="283"/>
      <c r="U632" s="283"/>
      <c r="V632" s="283"/>
      <c r="W632" s="283"/>
      <c r="X632" s="283"/>
    </row>
    <row r="633" spans="1:24" ht="13.5" customHeight="1" x14ac:dyDescent="0.2">
      <c r="A633" s="283"/>
      <c r="B633" s="283"/>
      <c r="C633" s="283"/>
      <c r="D633" s="283"/>
      <c r="E633" s="283"/>
      <c r="F633" s="283"/>
      <c r="G633" s="283"/>
      <c r="H633" s="283"/>
      <c r="I633" s="283"/>
      <c r="J633" s="283"/>
      <c r="K633" s="283"/>
      <c r="L633" s="283"/>
      <c r="M633" s="283"/>
      <c r="N633" s="283"/>
      <c r="O633" s="283"/>
      <c r="P633" s="283"/>
      <c r="Q633" s="283"/>
      <c r="R633" s="283"/>
      <c r="S633" s="283"/>
      <c r="T633" s="283"/>
      <c r="U633" s="283"/>
      <c r="V633" s="283"/>
      <c r="W633" s="283"/>
      <c r="X633" s="283"/>
    </row>
    <row r="634" spans="1:24" ht="13.5" customHeight="1" x14ac:dyDescent="0.2">
      <c r="A634" s="283"/>
      <c r="B634" s="283"/>
      <c r="C634" s="283"/>
      <c r="D634" s="283"/>
      <c r="E634" s="283"/>
      <c r="F634" s="283"/>
      <c r="G634" s="283"/>
      <c r="H634" s="283"/>
      <c r="I634" s="283"/>
      <c r="J634" s="283"/>
      <c r="K634" s="283"/>
      <c r="L634" s="283"/>
      <c r="M634" s="283"/>
      <c r="N634" s="283"/>
      <c r="O634" s="283"/>
      <c r="P634" s="283"/>
      <c r="Q634" s="283"/>
      <c r="R634" s="283"/>
      <c r="S634" s="283"/>
      <c r="T634" s="283"/>
      <c r="U634" s="283"/>
      <c r="V634" s="283"/>
      <c r="W634" s="283"/>
      <c r="X634" s="283"/>
    </row>
    <row r="635" spans="1:24" ht="13.5" customHeight="1" x14ac:dyDescent="0.2">
      <c r="A635" s="283"/>
      <c r="B635" s="283"/>
      <c r="C635" s="283"/>
      <c r="D635" s="283"/>
      <c r="E635" s="283"/>
      <c r="F635" s="283"/>
      <c r="G635" s="283"/>
      <c r="H635" s="283"/>
      <c r="I635" s="283"/>
      <c r="J635" s="283"/>
      <c r="K635" s="283"/>
      <c r="L635" s="283"/>
      <c r="M635" s="283"/>
      <c r="N635" s="283"/>
      <c r="O635" s="283"/>
      <c r="P635" s="283"/>
      <c r="Q635" s="283"/>
      <c r="R635" s="283"/>
      <c r="S635" s="283"/>
      <c r="T635" s="283"/>
      <c r="U635" s="283"/>
      <c r="V635" s="283"/>
      <c r="W635" s="283"/>
      <c r="X635" s="283"/>
    </row>
    <row r="636" spans="1:24" ht="13.5" customHeight="1" x14ac:dyDescent="0.2">
      <c r="A636" s="283"/>
      <c r="B636" s="283"/>
      <c r="C636" s="283"/>
      <c r="D636" s="283"/>
      <c r="E636" s="283"/>
      <c r="F636" s="283"/>
      <c r="G636" s="283"/>
      <c r="H636" s="283"/>
      <c r="I636" s="283"/>
      <c r="J636" s="283"/>
      <c r="K636" s="283"/>
      <c r="L636" s="283"/>
      <c r="M636" s="283"/>
      <c r="N636" s="283"/>
      <c r="O636" s="283"/>
      <c r="P636" s="283"/>
      <c r="Q636" s="283"/>
      <c r="R636" s="283"/>
      <c r="S636" s="283"/>
      <c r="T636" s="283"/>
      <c r="U636" s="283"/>
      <c r="V636" s="283"/>
      <c r="W636" s="283"/>
      <c r="X636" s="283"/>
    </row>
    <row r="637" spans="1:24" ht="13.5" customHeight="1" x14ac:dyDescent="0.2">
      <c r="A637" s="283"/>
      <c r="B637" s="283"/>
      <c r="C637" s="283"/>
      <c r="D637" s="283"/>
      <c r="E637" s="283"/>
      <c r="F637" s="283"/>
      <c r="G637" s="283"/>
      <c r="H637" s="283"/>
      <c r="I637" s="283"/>
      <c r="J637" s="283"/>
      <c r="K637" s="283"/>
      <c r="L637" s="283"/>
      <c r="M637" s="283"/>
      <c r="N637" s="283"/>
      <c r="O637" s="283"/>
      <c r="P637" s="283"/>
      <c r="Q637" s="283"/>
      <c r="R637" s="283"/>
      <c r="S637" s="283"/>
      <c r="T637" s="283"/>
      <c r="U637" s="283"/>
      <c r="V637" s="283"/>
      <c r="W637" s="283"/>
      <c r="X637" s="283"/>
    </row>
    <row r="638" spans="1:24" ht="13.5" customHeight="1" x14ac:dyDescent="0.2">
      <c r="A638" s="283"/>
      <c r="B638" s="283"/>
      <c r="C638" s="283"/>
      <c r="D638" s="283"/>
      <c r="E638" s="283"/>
      <c r="F638" s="283"/>
      <c r="G638" s="283"/>
      <c r="H638" s="283"/>
      <c r="I638" s="283"/>
      <c r="J638" s="283"/>
      <c r="K638" s="283"/>
      <c r="L638" s="283"/>
      <c r="M638" s="283"/>
      <c r="N638" s="283"/>
      <c r="O638" s="283"/>
      <c r="P638" s="283"/>
      <c r="Q638" s="283"/>
      <c r="R638" s="283"/>
      <c r="S638" s="283"/>
      <c r="T638" s="283"/>
      <c r="U638" s="283"/>
      <c r="V638" s="283"/>
      <c r="W638" s="283"/>
      <c r="X638" s="283"/>
    </row>
    <row r="639" spans="1:24" ht="13.5" customHeight="1" x14ac:dyDescent="0.2">
      <c r="A639" s="283"/>
      <c r="B639" s="283"/>
      <c r="C639" s="283"/>
      <c r="D639" s="283"/>
      <c r="E639" s="283"/>
      <c r="F639" s="283"/>
      <c r="G639" s="283"/>
      <c r="H639" s="283"/>
      <c r="I639" s="283"/>
      <c r="J639" s="283"/>
      <c r="K639" s="283"/>
      <c r="L639" s="283"/>
      <c r="M639" s="283"/>
      <c r="N639" s="283"/>
      <c r="O639" s="283"/>
      <c r="P639" s="283"/>
      <c r="Q639" s="283"/>
      <c r="R639" s="283"/>
      <c r="S639" s="283"/>
      <c r="T639" s="283"/>
      <c r="U639" s="283"/>
      <c r="V639" s="283"/>
      <c r="W639" s="283"/>
      <c r="X639" s="283"/>
    </row>
    <row r="640" spans="1:24" ht="13.5" customHeight="1" x14ac:dyDescent="0.2">
      <c r="A640" s="283"/>
      <c r="B640" s="283"/>
      <c r="C640" s="283"/>
      <c r="D640" s="283"/>
      <c r="E640" s="283"/>
      <c r="F640" s="283"/>
      <c r="G640" s="283"/>
      <c r="H640" s="283"/>
      <c r="I640" s="283"/>
      <c r="J640" s="283"/>
      <c r="K640" s="283"/>
      <c r="L640" s="283"/>
      <c r="M640" s="283"/>
      <c r="N640" s="283"/>
      <c r="O640" s="283"/>
      <c r="P640" s="283"/>
      <c r="Q640" s="283"/>
      <c r="R640" s="283"/>
      <c r="S640" s="283"/>
      <c r="T640" s="283"/>
      <c r="U640" s="283"/>
      <c r="V640" s="283"/>
      <c r="W640" s="283"/>
      <c r="X640" s="283"/>
    </row>
    <row r="641" spans="1:24" ht="13.5" customHeight="1" x14ac:dyDescent="0.2">
      <c r="A641" s="283"/>
      <c r="B641" s="283"/>
      <c r="C641" s="283"/>
      <c r="D641" s="283"/>
      <c r="E641" s="283"/>
      <c r="F641" s="283"/>
      <c r="G641" s="283"/>
      <c r="H641" s="283"/>
      <c r="I641" s="283"/>
      <c r="J641" s="283"/>
      <c r="K641" s="283"/>
      <c r="L641" s="283"/>
      <c r="M641" s="283"/>
      <c r="N641" s="283"/>
      <c r="O641" s="283"/>
      <c r="P641" s="283"/>
      <c r="Q641" s="283"/>
      <c r="R641" s="283"/>
      <c r="S641" s="283"/>
      <c r="T641" s="283"/>
      <c r="U641" s="283"/>
      <c r="V641" s="283"/>
      <c r="W641" s="283"/>
      <c r="X641" s="283"/>
    </row>
    <row r="642" spans="1:24" ht="13.5" customHeight="1" x14ac:dyDescent="0.2">
      <c r="A642" s="283"/>
      <c r="B642" s="283"/>
      <c r="C642" s="283"/>
      <c r="D642" s="283"/>
      <c r="E642" s="283"/>
      <c r="F642" s="283"/>
      <c r="G642" s="283"/>
      <c r="H642" s="283"/>
      <c r="I642" s="283"/>
      <c r="J642" s="283"/>
      <c r="K642" s="283"/>
      <c r="L642" s="283"/>
      <c r="M642" s="283"/>
      <c r="N642" s="283"/>
      <c r="O642" s="283"/>
      <c r="P642" s="283"/>
      <c r="Q642" s="283"/>
      <c r="R642" s="283"/>
      <c r="S642" s="283"/>
      <c r="T642" s="283"/>
      <c r="U642" s="283"/>
      <c r="V642" s="283"/>
      <c r="W642" s="283"/>
      <c r="X642" s="283"/>
    </row>
    <row r="643" spans="1:24" ht="13.5" customHeight="1" x14ac:dyDescent="0.2">
      <c r="A643" s="283"/>
      <c r="B643" s="283"/>
      <c r="C643" s="283"/>
      <c r="D643" s="283"/>
      <c r="E643" s="283"/>
      <c r="F643" s="283"/>
      <c r="G643" s="283"/>
      <c r="H643" s="283"/>
      <c r="I643" s="283"/>
      <c r="J643" s="283"/>
      <c r="K643" s="283"/>
      <c r="L643" s="283"/>
      <c r="M643" s="283"/>
      <c r="N643" s="283"/>
      <c r="O643" s="283"/>
      <c r="P643" s="283"/>
      <c r="Q643" s="283"/>
      <c r="R643" s="283"/>
      <c r="S643" s="283"/>
      <c r="T643" s="283"/>
      <c r="U643" s="283"/>
      <c r="V643" s="283"/>
      <c r="W643" s="283"/>
      <c r="X643" s="283"/>
    </row>
    <row r="644" spans="1:24" ht="13.5" customHeight="1" x14ac:dyDescent="0.2">
      <c r="A644" s="283"/>
      <c r="B644" s="283"/>
      <c r="C644" s="283"/>
      <c r="D644" s="283"/>
      <c r="E644" s="283"/>
      <c r="F644" s="283"/>
      <c r="G644" s="283"/>
      <c r="H644" s="283"/>
      <c r="I644" s="283"/>
      <c r="J644" s="283"/>
      <c r="K644" s="283"/>
      <c r="L644" s="283"/>
      <c r="M644" s="283"/>
      <c r="N644" s="283"/>
      <c r="O644" s="283"/>
      <c r="P644" s="283"/>
      <c r="Q644" s="283"/>
      <c r="R644" s="283"/>
      <c r="S644" s="283"/>
      <c r="T644" s="283"/>
      <c r="U644" s="283"/>
      <c r="V644" s="283"/>
      <c r="W644" s="283"/>
      <c r="X644" s="283"/>
    </row>
    <row r="645" spans="1:24" ht="13.5" customHeight="1" x14ac:dyDescent="0.2">
      <c r="A645" s="283"/>
      <c r="B645" s="283"/>
      <c r="C645" s="283"/>
      <c r="D645" s="283"/>
      <c r="E645" s="283"/>
      <c r="F645" s="283"/>
      <c r="G645" s="283"/>
      <c r="H645" s="283"/>
      <c r="I645" s="283"/>
      <c r="J645" s="283"/>
      <c r="K645" s="283"/>
      <c r="L645" s="283"/>
      <c r="M645" s="283"/>
      <c r="N645" s="283"/>
      <c r="O645" s="283"/>
      <c r="P645" s="283"/>
      <c r="Q645" s="283"/>
      <c r="R645" s="283"/>
      <c r="S645" s="283"/>
      <c r="T645" s="283"/>
      <c r="U645" s="283"/>
      <c r="V645" s="283"/>
      <c r="W645" s="283"/>
      <c r="X645" s="283"/>
    </row>
    <row r="646" spans="1:24" ht="13.5" customHeight="1" x14ac:dyDescent="0.2">
      <c r="A646" s="283"/>
      <c r="B646" s="283"/>
      <c r="C646" s="283"/>
      <c r="D646" s="283"/>
      <c r="E646" s="283"/>
      <c r="F646" s="283"/>
      <c r="G646" s="283"/>
      <c r="H646" s="283"/>
      <c r="I646" s="283"/>
      <c r="J646" s="283"/>
      <c r="K646" s="283"/>
      <c r="L646" s="283"/>
      <c r="M646" s="283"/>
      <c r="N646" s="283"/>
      <c r="O646" s="283"/>
      <c r="P646" s="283"/>
      <c r="Q646" s="283"/>
      <c r="R646" s="283"/>
      <c r="S646" s="283"/>
      <c r="T646" s="283"/>
      <c r="U646" s="283"/>
      <c r="V646" s="283"/>
      <c r="W646" s="283"/>
      <c r="X646" s="283"/>
    </row>
    <row r="647" spans="1:24" ht="13.5" customHeight="1" x14ac:dyDescent="0.2">
      <c r="A647" s="283"/>
      <c r="B647" s="283"/>
      <c r="C647" s="283"/>
      <c r="D647" s="283"/>
      <c r="E647" s="283"/>
      <c r="F647" s="283"/>
      <c r="G647" s="283"/>
      <c r="H647" s="283"/>
      <c r="I647" s="283"/>
      <c r="J647" s="283"/>
      <c r="K647" s="283"/>
      <c r="L647" s="283"/>
      <c r="M647" s="283"/>
      <c r="N647" s="283"/>
      <c r="O647" s="283"/>
      <c r="P647" s="283"/>
      <c r="Q647" s="283"/>
      <c r="R647" s="283"/>
      <c r="S647" s="283"/>
      <c r="T647" s="283"/>
      <c r="U647" s="283"/>
      <c r="V647" s="283"/>
      <c r="W647" s="283"/>
      <c r="X647" s="283"/>
    </row>
    <row r="648" spans="1:24" ht="13.5" customHeight="1" x14ac:dyDescent="0.2">
      <c r="A648" s="283"/>
      <c r="B648" s="283"/>
      <c r="C648" s="283"/>
      <c r="D648" s="283"/>
      <c r="E648" s="283"/>
      <c r="F648" s="283"/>
      <c r="G648" s="283"/>
      <c r="H648" s="283"/>
      <c r="I648" s="283"/>
      <c r="J648" s="283"/>
      <c r="K648" s="283"/>
      <c r="L648" s="283"/>
      <c r="M648" s="283"/>
      <c r="N648" s="283"/>
      <c r="O648" s="283"/>
      <c r="P648" s="283"/>
      <c r="Q648" s="283"/>
      <c r="R648" s="283"/>
      <c r="S648" s="283"/>
      <c r="T648" s="283"/>
      <c r="U648" s="283"/>
      <c r="V648" s="283"/>
      <c r="W648" s="283"/>
      <c r="X648" s="283"/>
    </row>
    <row r="649" spans="1:24" ht="13.5" customHeight="1" x14ac:dyDescent="0.2">
      <c r="A649" s="283"/>
      <c r="B649" s="283"/>
      <c r="C649" s="283"/>
      <c r="D649" s="283"/>
      <c r="E649" s="283"/>
      <c r="F649" s="283"/>
      <c r="G649" s="283"/>
      <c r="H649" s="283"/>
      <c r="I649" s="283"/>
      <c r="J649" s="283"/>
      <c r="K649" s="283"/>
      <c r="L649" s="283"/>
      <c r="M649" s="283"/>
      <c r="N649" s="283"/>
      <c r="O649" s="283"/>
      <c r="P649" s="283"/>
      <c r="Q649" s="283"/>
      <c r="R649" s="283"/>
      <c r="S649" s="283"/>
      <c r="T649" s="283"/>
      <c r="U649" s="283"/>
      <c r="V649" s="283"/>
      <c r="W649" s="283"/>
      <c r="X649" s="283"/>
    </row>
    <row r="650" spans="1:24" ht="13.5" customHeight="1" x14ac:dyDescent="0.2">
      <c r="A650" s="283"/>
      <c r="B650" s="283"/>
      <c r="C650" s="283"/>
      <c r="D650" s="283"/>
      <c r="E650" s="283"/>
      <c r="F650" s="283"/>
      <c r="G650" s="283"/>
      <c r="H650" s="283"/>
      <c r="I650" s="283"/>
      <c r="J650" s="283"/>
      <c r="K650" s="283"/>
      <c r="L650" s="283"/>
      <c r="M650" s="283"/>
      <c r="N650" s="283"/>
      <c r="O650" s="283"/>
      <c r="P650" s="283"/>
      <c r="Q650" s="283"/>
      <c r="R650" s="283"/>
      <c r="S650" s="283"/>
      <c r="T650" s="283"/>
      <c r="U650" s="283"/>
      <c r="V650" s="283"/>
      <c r="W650" s="283"/>
      <c r="X650" s="283"/>
    </row>
    <row r="651" spans="1:24" ht="13.5" customHeight="1" x14ac:dyDescent="0.2">
      <c r="A651" s="283"/>
      <c r="B651" s="283"/>
      <c r="C651" s="283"/>
      <c r="D651" s="283"/>
      <c r="E651" s="283"/>
      <c r="F651" s="283"/>
      <c r="G651" s="283"/>
      <c r="H651" s="283"/>
      <c r="I651" s="283"/>
      <c r="J651" s="283"/>
      <c r="K651" s="283"/>
      <c r="L651" s="283"/>
      <c r="M651" s="283"/>
      <c r="N651" s="283"/>
      <c r="O651" s="283"/>
      <c r="P651" s="283"/>
      <c r="Q651" s="283"/>
      <c r="R651" s="283"/>
      <c r="S651" s="283"/>
      <c r="T651" s="283"/>
      <c r="U651" s="283"/>
      <c r="V651" s="283"/>
      <c r="W651" s="283"/>
      <c r="X651" s="283"/>
    </row>
    <row r="652" spans="1:24" ht="13.5" customHeight="1" x14ac:dyDescent="0.2">
      <c r="A652" s="283"/>
      <c r="B652" s="283"/>
      <c r="C652" s="283"/>
      <c r="D652" s="283"/>
      <c r="E652" s="283"/>
      <c r="F652" s="283"/>
      <c r="G652" s="283"/>
      <c r="H652" s="283"/>
      <c r="I652" s="283"/>
      <c r="J652" s="283"/>
      <c r="K652" s="283"/>
      <c r="L652" s="283"/>
      <c r="M652" s="283"/>
      <c r="N652" s="283"/>
      <c r="O652" s="283"/>
      <c r="P652" s="283"/>
      <c r="Q652" s="283"/>
      <c r="R652" s="283"/>
      <c r="S652" s="283"/>
      <c r="T652" s="283"/>
      <c r="U652" s="283"/>
      <c r="V652" s="283"/>
      <c r="W652" s="283"/>
      <c r="X652" s="283"/>
    </row>
    <row r="653" spans="1:24" ht="13.5" customHeight="1" x14ac:dyDescent="0.2">
      <c r="A653" s="283"/>
      <c r="B653" s="283"/>
      <c r="C653" s="283"/>
      <c r="D653" s="283"/>
      <c r="E653" s="283"/>
      <c r="F653" s="283"/>
      <c r="G653" s="283"/>
      <c r="H653" s="283"/>
      <c r="I653" s="283"/>
      <c r="J653" s="283"/>
      <c r="K653" s="283"/>
      <c r="L653" s="283"/>
      <c r="M653" s="283"/>
      <c r="N653" s="283"/>
      <c r="O653" s="283"/>
      <c r="P653" s="283"/>
      <c r="Q653" s="283"/>
      <c r="R653" s="283"/>
      <c r="S653" s="283"/>
      <c r="T653" s="283"/>
      <c r="U653" s="283"/>
      <c r="V653" s="283"/>
      <c r="W653" s="283"/>
      <c r="X653" s="283"/>
    </row>
    <row r="654" spans="1:24" ht="13.5" customHeight="1" x14ac:dyDescent="0.2">
      <c r="A654" s="283"/>
      <c r="B654" s="283"/>
      <c r="C654" s="283"/>
      <c r="D654" s="283"/>
      <c r="E654" s="283"/>
      <c r="F654" s="283"/>
      <c r="G654" s="283"/>
      <c r="H654" s="283"/>
      <c r="I654" s="283"/>
      <c r="J654" s="283"/>
      <c r="K654" s="283"/>
      <c r="L654" s="283"/>
      <c r="M654" s="283"/>
      <c r="N654" s="283"/>
      <c r="O654" s="283"/>
      <c r="P654" s="283"/>
      <c r="Q654" s="283"/>
      <c r="R654" s="283"/>
      <c r="S654" s="283"/>
      <c r="T654" s="283"/>
      <c r="U654" s="283"/>
      <c r="V654" s="283"/>
      <c r="W654" s="283"/>
      <c r="X654" s="283"/>
    </row>
    <row r="655" spans="1:24" ht="13.5" customHeight="1" x14ac:dyDescent="0.2">
      <c r="A655" s="283"/>
      <c r="B655" s="283"/>
      <c r="C655" s="283"/>
      <c r="D655" s="283"/>
      <c r="E655" s="283"/>
      <c r="F655" s="283"/>
      <c r="G655" s="283"/>
      <c r="H655" s="283"/>
      <c r="I655" s="283"/>
      <c r="J655" s="283"/>
      <c r="K655" s="283"/>
      <c r="L655" s="283"/>
      <c r="M655" s="283"/>
      <c r="N655" s="283"/>
      <c r="O655" s="283"/>
      <c r="P655" s="283"/>
      <c r="Q655" s="283"/>
      <c r="R655" s="283"/>
      <c r="S655" s="283"/>
      <c r="T655" s="283"/>
      <c r="U655" s="283"/>
      <c r="V655" s="283"/>
      <c r="W655" s="283"/>
      <c r="X655" s="283"/>
    </row>
    <row r="656" spans="1:24" ht="13.5" customHeight="1" x14ac:dyDescent="0.2">
      <c r="A656" s="283"/>
      <c r="B656" s="283"/>
      <c r="C656" s="283"/>
      <c r="D656" s="283"/>
      <c r="E656" s="283"/>
      <c r="F656" s="283"/>
      <c r="G656" s="283"/>
      <c r="H656" s="283"/>
      <c r="I656" s="283"/>
      <c r="J656" s="283"/>
      <c r="K656" s="283"/>
      <c r="L656" s="283"/>
      <c r="M656" s="283"/>
      <c r="N656" s="283"/>
      <c r="O656" s="283"/>
      <c r="P656" s="283"/>
      <c r="Q656" s="283"/>
      <c r="R656" s="283"/>
      <c r="S656" s="283"/>
      <c r="T656" s="283"/>
      <c r="U656" s="283"/>
      <c r="V656" s="283"/>
      <c r="W656" s="283"/>
      <c r="X656" s="283"/>
    </row>
    <row r="657" spans="1:24" ht="13.5" customHeight="1" x14ac:dyDescent="0.2">
      <c r="A657" s="283"/>
      <c r="B657" s="283"/>
      <c r="C657" s="283"/>
      <c r="D657" s="283"/>
      <c r="E657" s="283"/>
      <c r="F657" s="283"/>
      <c r="G657" s="283"/>
      <c r="H657" s="283"/>
      <c r="I657" s="283"/>
      <c r="J657" s="283"/>
      <c r="K657" s="283"/>
      <c r="L657" s="283"/>
      <c r="M657" s="283"/>
      <c r="N657" s="283"/>
      <c r="O657" s="283"/>
      <c r="P657" s="283"/>
      <c r="Q657" s="283"/>
      <c r="R657" s="283"/>
      <c r="S657" s="283"/>
      <c r="T657" s="283"/>
      <c r="U657" s="283"/>
      <c r="V657" s="283"/>
      <c r="W657" s="283"/>
      <c r="X657" s="283"/>
    </row>
    <row r="658" spans="1:24" ht="13.5" customHeight="1" x14ac:dyDescent="0.2">
      <c r="A658" s="283"/>
      <c r="B658" s="283"/>
      <c r="C658" s="283"/>
      <c r="D658" s="283"/>
      <c r="E658" s="283"/>
      <c r="F658" s="283"/>
      <c r="G658" s="283"/>
      <c r="H658" s="283"/>
      <c r="I658" s="283"/>
      <c r="J658" s="283"/>
      <c r="K658" s="283"/>
      <c r="L658" s="283"/>
      <c r="M658" s="283"/>
      <c r="N658" s="283"/>
      <c r="O658" s="283"/>
      <c r="P658" s="283"/>
      <c r="Q658" s="283"/>
      <c r="R658" s="283"/>
      <c r="S658" s="283"/>
      <c r="T658" s="283"/>
      <c r="U658" s="283"/>
      <c r="V658" s="283"/>
      <c r="W658" s="283"/>
      <c r="X658" s="283"/>
    </row>
    <row r="659" spans="1:24" ht="13.5" customHeight="1" x14ac:dyDescent="0.2">
      <c r="A659" s="283"/>
      <c r="B659" s="283"/>
      <c r="C659" s="283"/>
      <c r="D659" s="283"/>
      <c r="E659" s="283"/>
      <c r="F659" s="283"/>
      <c r="G659" s="283"/>
      <c r="H659" s="283"/>
      <c r="I659" s="283"/>
      <c r="J659" s="283"/>
      <c r="K659" s="283"/>
      <c r="L659" s="283"/>
      <c r="M659" s="283"/>
      <c r="N659" s="283"/>
      <c r="O659" s="283"/>
      <c r="P659" s="283"/>
      <c r="Q659" s="283"/>
      <c r="R659" s="283"/>
      <c r="S659" s="283"/>
      <c r="T659" s="283"/>
      <c r="U659" s="283"/>
      <c r="V659" s="283"/>
      <c r="W659" s="283"/>
      <c r="X659" s="283"/>
    </row>
    <row r="660" spans="1:24" ht="13.5" customHeight="1" x14ac:dyDescent="0.2">
      <c r="A660" s="283"/>
      <c r="B660" s="283"/>
      <c r="C660" s="283"/>
      <c r="D660" s="283"/>
      <c r="E660" s="283"/>
      <c r="F660" s="283"/>
      <c r="G660" s="283"/>
      <c r="H660" s="283"/>
      <c r="I660" s="283"/>
      <c r="J660" s="283"/>
      <c r="K660" s="283"/>
      <c r="L660" s="283"/>
      <c r="M660" s="283"/>
      <c r="N660" s="283"/>
      <c r="O660" s="283"/>
      <c r="P660" s="283"/>
      <c r="Q660" s="283"/>
      <c r="R660" s="283"/>
      <c r="S660" s="283"/>
      <c r="T660" s="283"/>
      <c r="U660" s="283"/>
      <c r="V660" s="283"/>
      <c r="W660" s="283"/>
      <c r="X660" s="283"/>
    </row>
    <row r="661" spans="1:24" ht="13.5" customHeight="1" x14ac:dyDescent="0.2">
      <c r="A661" s="283"/>
      <c r="B661" s="283"/>
      <c r="C661" s="283"/>
      <c r="D661" s="283"/>
      <c r="E661" s="283"/>
      <c r="F661" s="283"/>
      <c r="G661" s="283"/>
      <c r="H661" s="283"/>
      <c r="I661" s="283"/>
      <c r="J661" s="283"/>
      <c r="K661" s="283"/>
      <c r="L661" s="283"/>
      <c r="M661" s="283"/>
      <c r="N661" s="283"/>
      <c r="O661" s="283"/>
      <c r="P661" s="283"/>
      <c r="Q661" s="283"/>
      <c r="R661" s="283"/>
      <c r="S661" s="283"/>
      <c r="T661" s="283"/>
      <c r="U661" s="283"/>
      <c r="V661" s="283"/>
      <c r="W661" s="283"/>
      <c r="X661" s="283"/>
    </row>
    <row r="662" spans="1:24" ht="13.5" customHeight="1" x14ac:dyDescent="0.2">
      <c r="A662" s="283"/>
      <c r="B662" s="283"/>
      <c r="C662" s="283"/>
      <c r="D662" s="283"/>
      <c r="E662" s="283"/>
      <c r="F662" s="283"/>
      <c r="G662" s="283"/>
      <c r="H662" s="283"/>
      <c r="I662" s="283"/>
      <c r="J662" s="283"/>
      <c r="K662" s="283"/>
      <c r="L662" s="283"/>
      <c r="M662" s="283"/>
      <c r="N662" s="283"/>
      <c r="O662" s="283"/>
      <c r="P662" s="283"/>
      <c r="Q662" s="283"/>
      <c r="R662" s="283"/>
      <c r="S662" s="283"/>
      <c r="T662" s="283"/>
      <c r="U662" s="283"/>
      <c r="V662" s="283"/>
      <c r="W662" s="283"/>
      <c r="X662" s="283"/>
    </row>
    <row r="663" spans="1:24" ht="13.5" customHeight="1" x14ac:dyDescent="0.2">
      <c r="A663" s="283"/>
      <c r="B663" s="283"/>
      <c r="C663" s="283"/>
      <c r="D663" s="283"/>
      <c r="E663" s="283"/>
      <c r="F663" s="283"/>
      <c r="G663" s="283"/>
      <c r="H663" s="283"/>
      <c r="I663" s="283"/>
      <c r="J663" s="283"/>
      <c r="K663" s="283"/>
      <c r="L663" s="283"/>
      <c r="M663" s="283"/>
      <c r="N663" s="283"/>
      <c r="O663" s="283"/>
      <c r="P663" s="283"/>
      <c r="Q663" s="283"/>
      <c r="R663" s="283"/>
      <c r="S663" s="283"/>
      <c r="T663" s="283"/>
      <c r="U663" s="283"/>
      <c r="V663" s="283"/>
      <c r="W663" s="283"/>
      <c r="X663" s="283"/>
    </row>
    <row r="664" spans="1:24" ht="13.5" customHeight="1" x14ac:dyDescent="0.2">
      <c r="A664" s="283"/>
      <c r="B664" s="283"/>
      <c r="C664" s="283"/>
      <c r="D664" s="283"/>
      <c r="E664" s="283"/>
      <c r="F664" s="283"/>
      <c r="G664" s="283"/>
      <c r="H664" s="283"/>
      <c r="I664" s="283"/>
      <c r="J664" s="283"/>
      <c r="K664" s="283"/>
      <c r="L664" s="283"/>
      <c r="M664" s="283"/>
      <c r="N664" s="283"/>
      <c r="O664" s="283"/>
      <c r="P664" s="283"/>
      <c r="Q664" s="283"/>
      <c r="R664" s="283"/>
      <c r="S664" s="283"/>
      <c r="T664" s="283"/>
      <c r="U664" s="283"/>
      <c r="V664" s="283"/>
      <c r="W664" s="283"/>
      <c r="X664" s="283"/>
    </row>
    <row r="665" spans="1:24" ht="13.5" customHeight="1" x14ac:dyDescent="0.2">
      <c r="A665" s="283"/>
      <c r="B665" s="283"/>
      <c r="C665" s="283"/>
      <c r="D665" s="283"/>
      <c r="E665" s="283"/>
      <c r="F665" s="283"/>
      <c r="G665" s="283"/>
      <c r="H665" s="283"/>
      <c r="I665" s="283"/>
      <c r="J665" s="283"/>
      <c r="K665" s="283"/>
      <c r="L665" s="283"/>
      <c r="M665" s="283"/>
      <c r="N665" s="283"/>
      <c r="O665" s="283"/>
      <c r="P665" s="283"/>
      <c r="Q665" s="283"/>
      <c r="R665" s="283"/>
      <c r="S665" s="283"/>
      <c r="T665" s="283"/>
      <c r="U665" s="283"/>
      <c r="V665" s="283"/>
      <c r="W665" s="283"/>
      <c r="X665" s="283"/>
    </row>
    <row r="666" spans="1:24" ht="13.5" customHeight="1" x14ac:dyDescent="0.2">
      <c r="A666" s="283"/>
      <c r="B666" s="283"/>
      <c r="C666" s="283"/>
      <c r="D666" s="283"/>
      <c r="E666" s="283"/>
      <c r="F666" s="283"/>
      <c r="G666" s="283"/>
      <c r="H666" s="283"/>
      <c r="I666" s="283"/>
      <c r="J666" s="283"/>
      <c r="K666" s="283"/>
      <c r="L666" s="283"/>
      <c r="M666" s="283"/>
      <c r="N666" s="283"/>
      <c r="O666" s="283"/>
      <c r="P666" s="283"/>
      <c r="Q666" s="283"/>
      <c r="R666" s="283"/>
      <c r="S666" s="283"/>
      <c r="T666" s="283"/>
      <c r="U666" s="283"/>
      <c r="V666" s="283"/>
      <c r="W666" s="283"/>
      <c r="X666" s="283"/>
    </row>
    <row r="667" spans="1:24" ht="13.5" customHeight="1" x14ac:dyDescent="0.2">
      <c r="A667" s="283"/>
      <c r="B667" s="283"/>
      <c r="C667" s="283"/>
      <c r="D667" s="283"/>
      <c r="E667" s="283"/>
      <c r="F667" s="283"/>
      <c r="G667" s="283"/>
      <c r="H667" s="283"/>
      <c r="I667" s="283"/>
      <c r="J667" s="283"/>
      <c r="K667" s="283"/>
      <c r="L667" s="283"/>
      <c r="M667" s="283"/>
      <c r="N667" s="283"/>
      <c r="O667" s="283"/>
      <c r="P667" s="283"/>
      <c r="Q667" s="283"/>
      <c r="R667" s="283"/>
      <c r="S667" s="283"/>
      <c r="T667" s="283"/>
      <c r="U667" s="283"/>
      <c r="V667" s="283"/>
      <c r="W667" s="283"/>
      <c r="X667" s="283"/>
    </row>
    <row r="668" spans="1:24" ht="13.5" customHeight="1" x14ac:dyDescent="0.2">
      <c r="A668" s="283"/>
      <c r="B668" s="283"/>
      <c r="C668" s="283"/>
      <c r="D668" s="283"/>
      <c r="E668" s="283"/>
      <c r="F668" s="283"/>
      <c r="G668" s="283"/>
      <c r="H668" s="283"/>
      <c r="I668" s="283"/>
      <c r="J668" s="283"/>
      <c r="K668" s="283"/>
      <c r="L668" s="283"/>
      <c r="M668" s="283"/>
      <c r="N668" s="283"/>
      <c r="O668" s="283"/>
      <c r="P668" s="283"/>
      <c r="Q668" s="283"/>
      <c r="R668" s="283"/>
      <c r="S668" s="283"/>
      <c r="T668" s="283"/>
      <c r="U668" s="283"/>
      <c r="V668" s="283"/>
      <c r="W668" s="283"/>
      <c r="X668" s="283"/>
    </row>
    <row r="669" spans="1:24" ht="13.5" customHeight="1" x14ac:dyDescent="0.2">
      <c r="A669" s="283"/>
      <c r="B669" s="283"/>
      <c r="C669" s="283"/>
      <c r="D669" s="283"/>
      <c r="E669" s="283"/>
      <c r="F669" s="283"/>
      <c r="G669" s="283"/>
      <c r="H669" s="283"/>
      <c r="I669" s="283"/>
      <c r="J669" s="283"/>
      <c r="K669" s="283"/>
      <c r="L669" s="283"/>
      <c r="M669" s="283"/>
      <c r="N669" s="283"/>
      <c r="O669" s="283"/>
      <c r="P669" s="283"/>
      <c r="Q669" s="283"/>
      <c r="R669" s="283"/>
      <c r="S669" s="283"/>
      <c r="T669" s="283"/>
      <c r="U669" s="283"/>
      <c r="V669" s="283"/>
      <c r="W669" s="283"/>
      <c r="X669" s="283"/>
    </row>
    <row r="670" spans="1:24" ht="13.5" customHeight="1" x14ac:dyDescent="0.2">
      <c r="A670" s="283"/>
      <c r="B670" s="283"/>
      <c r="C670" s="283"/>
      <c r="D670" s="283"/>
      <c r="E670" s="283"/>
      <c r="F670" s="283"/>
      <c r="G670" s="283"/>
      <c r="H670" s="283"/>
      <c r="I670" s="283"/>
      <c r="J670" s="283"/>
      <c r="K670" s="283"/>
      <c r="L670" s="283"/>
      <c r="M670" s="283"/>
      <c r="N670" s="283"/>
      <c r="O670" s="283"/>
      <c r="P670" s="283"/>
      <c r="Q670" s="283"/>
      <c r="R670" s="283"/>
      <c r="S670" s="283"/>
      <c r="T670" s="283"/>
      <c r="U670" s="283"/>
      <c r="V670" s="283"/>
      <c r="W670" s="283"/>
      <c r="X670" s="283"/>
    </row>
    <row r="671" spans="1:24" ht="13.5" customHeight="1" x14ac:dyDescent="0.2">
      <c r="A671" s="283"/>
      <c r="B671" s="283"/>
      <c r="C671" s="283"/>
      <c r="D671" s="283"/>
      <c r="E671" s="283"/>
      <c r="F671" s="283"/>
      <c r="G671" s="283"/>
      <c r="H671" s="283"/>
      <c r="I671" s="283"/>
      <c r="J671" s="283"/>
      <c r="K671" s="283"/>
      <c r="L671" s="283"/>
      <c r="M671" s="283"/>
      <c r="N671" s="283"/>
      <c r="O671" s="283"/>
      <c r="P671" s="283"/>
      <c r="Q671" s="283"/>
      <c r="R671" s="283"/>
      <c r="S671" s="283"/>
      <c r="T671" s="283"/>
      <c r="U671" s="283"/>
      <c r="V671" s="283"/>
      <c r="W671" s="283"/>
      <c r="X671" s="283"/>
    </row>
    <row r="672" spans="1:24" ht="13.5" customHeight="1" x14ac:dyDescent="0.2">
      <c r="A672" s="283"/>
      <c r="B672" s="283"/>
      <c r="C672" s="283"/>
      <c r="D672" s="283"/>
      <c r="E672" s="283"/>
      <c r="F672" s="283"/>
      <c r="G672" s="283"/>
      <c r="H672" s="283"/>
      <c r="I672" s="283"/>
      <c r="J672" s="283"/>
      <c r="K672" s="283"/>
      <c r="L672" s="283"/>
      <c r="M672" s="283"/>
      <c r="N672" s="283"/>
      <c r="O672" s="283"/>
      <c r="P672" s="283"/>
      <c r="Q672" s="283"/>
      <c r="R672" s="283"/>
      <c r="S672" s="283"/>
      <c r="T672" s="283"/>
      <c r="U672" s="283"/>
      <c r="V672" s="283"/>
      <c r="W672" s="283"/>
      <c r="X672" s="283"/>
    </row>
    <row r="673" spans="1:24" ht="13.5" customHeight="1" x14ac:dyDescent="0.2">
      <c r="A673" s="283"/>
      <c r="B673" s="283"/>
      <c r="C673" s="283"/>
      <c r="D673" s="283"/>
      <c r="E673" s="283"/>
      <c r="F673" s="283"/>
      <c r="G673" s="283"/>
      <c r="H673" s="283"/>
      <c r="I673" s="283"/>
      <c r="J673" s="283"/>
      <c r="K673" s="283"/>
      <c r="L673" s="283"/>
      <c r="M673" s="283"/>
      <c r="N673" s="283"/>
      <c r="O673" s="283"/>
      <c r="P673" s="283"/>
      <c r="Q673" s="283"/>
      <c r="R673" s="283"/>
      <c r="S673" s="283"/>
      <c r="T673" s="283"/>
      <c r="U673" s="283"/>
      <c r="V673" s="283"/>
      <c r="W673" s="283"/>
      <c r="X673" s="283"/>
    </row>
    <row r="674" spans="1:24" ht="13.5" customHeight="1" x14ac:dyDescent="0.2">
      <c r="A674" s="283"/>
      <c r="B674" s="283"/>
      <c r="C674" s="283"/>
      <c r="D674" s="283"/>
      <c r="E674" s="283"/>
      <c r="F674" s="283"/>
      <c r="G674" s="283"/>
      <c r="H674" s="283"/>
      <c r="I674" s="283"/>
      <c r="J674" s="283"/>
      <c r="K674" s="283"/>
      <c r="L674" s="283"/>
      <c r="M674" s="283"/>
      <c r="N674" s="283"/>
      <c r="O674" s="283"/>
      <c r="P674" s="283"/>
      <c r="Q674" s="283"/>
      <c r="R674" s="283"/>
      <c r="S674" s="283"/>
      <c r="T674" s="283"/>
      <c r="U674" s="283"/>
      <c r="V674" s="283"/>
      <c r="W674" s="283"/>
      <c r="X674" s="283"/>
    </row>
    <row r="675" spans="1:24" ht="13.5" customHeight="1" x14ac:dyDescent="0.2">
      <c r="A675" s="283"/>
      <c r="B675" s="283"/>
      <c r="C675" s="283"/>
      <c r="D675" s="283"/>
      <c r="E675" s="283"/>
      <c r="F675" s="283"/>
      <c r="G675" s="283"/>
      <c r="H675" s="283"/>
      <c r="I675" s="283"/>
      <c r="J675" s="283"/>
      <c r="K675" s="283"/>
      <c r="L675" s="283"/>
      <c r="M675" s="283"/>
      <c r="N675" s="283"/>
      <c r="O675" s="283"/>
      <c r="P675" s="283"/>
      <c r="Q675" s="283"/>
      <c r="R675" s="283"/>
      <c r="S675" s="283"/>
      <c r="T675" s="283"/>
      <c r="U675" s="283"/>
      <c r="V675" s="283"/>
      <c r="W675" s="283"/>
      <c r="X675" s="283"/>
    </row>
    <row r="676" spans="1:24" ht="13.5" customHeight="1" x14ac:dyDescent="0.2">
      <c r="A676" s="283"/>
      <c r="B676" s="283"/>
      <c r="C676" s="283"/>
      <c r="D676" s="283"/>
      <c r="E676" s="283"/>
      <c r="F676" s="283"/>
      <c r="G676" s="283"/>
      <c r="H676" s="283"/>
      <c r="I676" s="283"/>
      <c r="J676" s="283"/>
      <c r="K676" s="283"/>
      <c r="L676" s="283"/>
      <c r="M676" s="283"/>
      <c r="N676" s="283"/>
      <c r="O676" s="283"/>
      <c r="P676" s="283"/>
      <c r="Q676" s="283"/>
      <c r="R676" s="283"/>
      <c r="S676" s="283"/>
      <c r="T676" s="283"/>
      <c r="U676" s="283"/>
      <c r="V676" s="283"/>
      <c r="W676" s="283"/>
      <c r="X676" s="283"/>
    </row>
    <row r="677" spans="1:24" ht="13.5" customHeight="1" x14ac:dyDescent="0.2">
      <c r="A677" s="283"/>
      <c r="B677" s="283"/>
      <c r="C677" s="283"/>
      <c r="D677" s="283"/>
      <c r="E677" s="283"/>
      <c r="F677" s="283"/>
      <c r="G677" s="283"/>
      <c r="H677" s="283"/>
      <c r="I677" s="283"/>
      <c r="J677" s="283"/>
      <c r="K677" s="283"/>
      <c r="L677" s="283"/>
      <c r="M677" s="283"/>
      <c r="N677" s="283"/>
      <c r="O677" s="283"/>
      <c r="P677" s="283"/>
      <c r="Q677" s="283"/>
      <c r="R677" s="283"/>
      <c r="S677" s="283"/>
      <c r="T677" s="283"/>
      <c r="U677" s="283"/>
      <c r="V677" s="283"/>
      <c r="W677" s="283"/>
      <c r="X677" s="283"/>
    </row>
    <row r="678" spans="1:24" ht="13.5" customHeight="1" x14ac:dyDescent="0.2">
      <c r="A678" s="283"/>
      <c r="B678" s="283"/>
      <c r="C678" s="283"/>
      <c r="D678" s="283"/>
      <c r="E678" s="283"/>
      <c r="F678" s="283"/>
      <c r="G678" s="283"/>
      <c r="H678" s="283"/>
      <c r="I678" s="283"/>
      <c r="J678" s="283"/>
      <c r="K678" s="283"/>
      <c r="L678" s="283"/>
      <c r="M678" s="283"/>
      <c r="N678" s="283"/>
      <c r="O678" s="283"/>
      <c r="P678" s="283"/>
      <c r="Q678" s="283"/>
      <c r="R678" s="283"/>
      <c r="S678" s="283"/>
      <c r="T678" s="283"/>
      <c r="U678" s="283"/>
      <c r="V678" s="283"/>
      <c r="W678" s="283"/>
      <c r="X678" s="283"/>
    </row>
    <row r="679" spans="1:24" ht="13.5" customHeight="1" x14ac:dyDescent="0.2">
      <c r="A679" s="283"/>
      <c r="B679" s="283"/>
      <c r="C679" s="283"/>
      <c r="D679" s="283"/>
      <c r="E679" s="283"/>
      <c r="F679" s="283"/>
      <c r="G679" s="283"/>
      <c r="H679" s="283"/>
      <c r="I679" s="283"/>
      <c r="J679" s="283"/>
      <c r="K679" s="283"/>
      <c r="L679" s="283"/>
      <c r="M679" s="283"/>
      <c r="N679" s="283"/>
      <c r="O679" s="283"/>
      <c r="P679" s="283"/>
      <c r="Q679" s="283"/>
      <c r="R679" s="283"/>
      <c r="S679" s="283"/>
      <c r="T679" s="283"/>
      <c r="U679" s="283"/>
      <c r="V679" s="283"/>
      <c r="W679" s="283"/>
      <c r="X679" s="283"/>
    </row>
    <row r="680" spans="1:24" ht="13.5" customHeight="1" x14ac:dyDescent="0.2">
      <c r="A680" s="283"/>
      <c r="B680" s="283"/>
      <c r="C680" s="283"/>
      <c r="D680" s="283"/>
      <c r="E680" s="283"/>
      <c r="F680" s="283"/>
      <c r="G680" s="283"/>
      <c r="H680" s="283"/>
      <c r="I680" s="283"/>
      <c r="J680" s="283"/>
      <c r="K680" s="283"/>
      <c r="L680" s="283"/>
      <c r="M680" s="283"/>
      <c r="N680" s="283"/>
      <c r="O680" s="283"/>
      <c r="P680" s="283"/>
      <c r="Q680" s="283"/>
      <c r="R680" s="283"/>
      <c r="S680" s="283"/>
      <c r="T680" s="283"/>
      <c r="U680" s="283"/>
      <c r="V680" s="283"/>
      <c r="W680" s="283"/>
      <c r="X680" s="283"/>
    </row>
    <row r="681" spans="1:24" ht="13.5" customHeight="1" x14ac:dyDescent="0.2">
      <c r="A681" s="283"/>
      <c r="B681" s="283"/>
      <c r="C681" s="283"/>
      <c r="D681" s="283"/>
      <c r="E681" s="283"/>
      <c r="F681" s="283"/>
      <c r="G681" s="283"/>
      <c r="H681" s="283"/>
      <c r="I681" s="283"/>
      <c r="J681" s="283"/>
      <c r="K681" s="283"/>
      <c r="L681" s="283"/>
      <c r="M681" s="283"/>
      <c r="N681" s="283"/>
      <c r="O681" s="283"/>
      <c r="P681" s="283"/>
      <c r="Q681" s="283"/>
      <c r="R681" s="283"/>
      <c r="S681" s="283"/>
      <c r="T681" s="283"/>
      <c r="U681" s="283"/>
      <c r="V681" s="283"/>
      <c r="W681" s="283"/>
      <c r="X681" s="283"/>
    </row>
    <row r="682" spans="1:24" ht="13.5" customHeight="1" x14ac:dyDescent="0.2">
      <c r="A682" s="283"/>
      <c r="B682" s="283"/>
      <c r="C682" s="283"/>
      <c r="D682" s="283"/>
      <c r="E682" s="283"/>
      <c r="F682" s="283"/>
      <c r="G682" s="283"/>
      <c r="H682" s="283"/>
      <c r="I682" s="283"/>
      <c r="J682" s="283"/>
      <c r="K682" s="283"/>
      <c r="L682" s="283"/>
      <c r="M682" s="283"/>
      <c r="N682" s="283"/>
      <c r="O682" s="283"/>
      <c r="P682" s="283"/>
      <c r="Q682" s="283"/>
      <c r="R682" s="283"/>
      <c r="S682" s="283"/>
      <c r="T682" s="283"/>
      <c r="U682" s="283"/>
      <c r="V682" s="283"/>
      <c r="W682" s="283"/>
      <c r="X682" s="283"/>
    </row>
    <row r="683" spans="1:24" ht="13.5" customHeight="1" x14ac:dyDescent="0.2">
      <c r="A683" s="283"/>
      <c r="B683" s="283"/>
      <c r="C683" s="283"/>
      <c r="D683" s="283"/>
      <c r="E683" s="283"/>
      <c r="F683" s="283"/>
      <c r="G683" s="283"/>
      <c r="H683" s="283"/>
      <c r="I683" s="283"/>
      <c r="J683" s="283"/>
      <c r="K683" s="283"/>
      <c r="L683" s="283"/>
      <c r="M683" s="283"/>
      <c r="N683" s="283"/>
      <c r="O683" s="283"/>
      <c r="P683" s="283"/>
      <c r="Q683" s="283"/>
      <c r="R683" s="283"/>
      <c r="S683" s="283"/>
      <c r="T683" s="283"/>
      <c r="U683" s="283"/>
      <c r="V683" s="283"/>
      <c r="W683" s="283"/>
      <c r="X683" s="283"/>
    </row>
    <row r="684" spans="1:24" ht="13.5" customHeight="1" x14ac:dyDescent="0.2">
      <c r="A684" s="283"/>
      <c r="B684" s="283"/>
      <c r="C684" s="283"/>
      <c r="D684" s="283"/>
      <c r="E684" s="283"/>
      <c r="F684" s="283"/>
      <c r="G684" s="283"/>
      <c r="H684" s="283"/>
      <c r="I684" s="283"/>
      <c r="J684" s="283"/>
      <c r="K684" s="283"/>
      <c r="L684" s="283"/>
      <c r="M684" s="283"/>
      <c r="N684" s="283"/>
      <c r="O684" s="283"/>
      <c r="P684" s="283"/>
      <c r="Q684" s="283"/>
      <c r="R684" s="283"/>
      <c r="S684" s="283"/>
      <c r="T684" s="283"/>
      <c r="U684" s="283"/>
      <c r="V684" s="283"/>
      <c r="W684" s="283"/>
      <c r="X684" s="283"/>
    </row>
    <row r="685" spans="1:24" ht="13.5" customHeight="1" x14ac:dyDescent="0.2">
      <c r="A685" s="283"/>
      <c r="B685" s="283"/>
      <c r="C685" s="283"/>
      <c r="D685" s="283"/>
      <c r="E685" s="283"/>
      <c r="F685" s="283"/>
      <c r="G685" s="283"/>
      <c r="H685" s="283"/>
      <c r="I685" s="283"/>
      <c r="J685" s="283"/>
      <c r="K685" s="283"/>
      <c r="L685" s="283"/>
      <c r="M685" s="283"/>
      <c r="N685" s="283"/>
      <c r="O685" s="283"/>
      <c r="P685" s="283"/>
      <c r="Q685" s="283"/>
      <c r="R685" s="283"/>
      <c r="S685" s="283"/>
      <c r="T685" s="283"/>
      <c r="U685" s="283"/>
      <c r="V685" s="283"/>
      <c r="W685" s="283"/>
      <c r="X685" s="283"/>
    </row>
    <row r="686" spans="1:24" ht="13.5" customHeight="1" x14ac:dyDescent="0.2">
      <c r="A686" s="283"/>
      <c r="B686" s="283"/>
      <c r="C686" s="283"/>
      <c r="D686" s="283"/>
      <c r="E686" s="283"/>
      <c r="F686" s="283"/>
      <c r="G686" s="283"/>
      <c r="H686" s="283"/>
      <c r="I686" s="283"/>
      <c r="J686" s="283"/>
      <c r="K686" s="283"/>
      <c r="L686" s="283"/>
      <c r="M686" s="283"/>
      <c r="N686" s="283"/>
      <c r="O686" s="283"/>
      <c r="P686" s="283"/>
      <c r="Q686" s="283"/>
      <c r="R686" s="283"/>
      <c r="S686" s="283"/>
      <c r="T686" s="283"/>
      <c r="U686" s="283"/>
      <c r="V686" s="283"/>
      <c r="W686" s="283"/>
      <c r="X686" s="283"/>
    </row>
    <row r="687" spans="1:24" ht="13.5" customHeight="1" x14ac:dyDescent="0.2">
      <c r="A687" s="283"/>
      <c r="B687" s="283"/>
      <c r="C687" s="283"/>
      <c r="D687" s="283"/>
      <c r="E687" s="283"/>
      <c r="F687" s="283"/>
      <c r="G687" s="283"/>
      <c r="H687" s="283"/>
      <c r="I687" s="283"/>
      <c r="J687" s="283"/>
      <c r="K687" s="283"/>
      <c r="L687" s="283"/>
      <c r="M687" s="283"/>
      <c r="N687" s="283"/>
      <c r="O687" s="283"/>
      <c r="P687" s="283"/>
      <c r="Q687" s="283"/>
      <c r="R687" s="283"/>
      <c r="S687" s="283"/>
      <c r="T687" s="283"/>
      <c r="U687" s="283"/>
      <c r="V687" s="283"/>
      <c r="W687" s="283"/>
      <c r="X687" s="283"/>
    </row>
    <row r="688" spans="1:24" ht="13.5" customHeight="1" x14ac:dyDescent="0.2">
      <c r="A688" s="283"/>
      <c r="B688" s="283"/>
      <c r="C688" s="283"/>
      <c r="D688" s="283"/>
      <c r="E688" s="283"/>
      <c r="F688" s="283"/>
      <c r="G688" s="283"/>
      <c r="H688" s="283"/>
      <c r="I688" s="283"/>
      <c r="J688" s="283"/>
      <c r="K688" s="283"/>
      <c r="L688" s="283"/>
      <c r="M688" s="283"/>
      <c r="N688" s="283"/>
      <c r="O688" s="283"/>
      <c r="P688" s="283"/>
      <c r="Q688" s="283"/>
      <c r="R688" s="283"/>
      <c r="S688" s="283"/>
      <c r="T688" s="283"/>
      <c r="U688" s="283"/>
      <c r="V688" s="283"/>
      <c r="W688" s="283"/>
      <c r="X688" s="283"/>
    </row>
    <row r="689" spans="1:24" ht="13.5" customHeight="1" x14ac:dyDescent="0.2">
      <c r="A689" s="283"/>
      <c r="B689" s="283"/>
      <c r="C689" s="283"/>
      <c r="D689" s="283"/>
      <c r="E689" s="283"/>
      <c r="F689" s="283"/>
      <c r="G689" s="283"/>
      <c r="H689" s="283"/>
      <c r="I689" s="283"/>
      <c r="J689" s="283"/>
      <c r="K689" s="283"/>
      <c r="L689" s="283"/>
      <c r="M689" s="283"/>
      <c r="N689" s="283"/>
      <c r="O689" s="283"/>
      <c r="P689" s="283"/>
      <c r="Q689" s="283"/>
      <c r="R689" s="283"/>
      <c r="S689" s="283"/>
      <c r="T689" s="283"/>
      <c r="U689" s="283"/>
      <c r="V689" s="283"/>
      <c r="W689" s="283"/>
      <c r="X689" s="283"/>
    </row>
    <row r="690" spans="1:24" ht="13.5" customHeight="1" x14ac:dyDescent="0.2">
      <c r="A690" s="283"/>
      <c r="B690" s="283"/>
      <c r="C690" s="283"/>
      <c r="D690" s="283"/>
      <c r="E690" s="283"/>
      <c r="F690" s="283"/>
      <c r="G690" s="283"/>
      <c r="H690" s="283"/>
      <c r="I690" s="283"/>
      <c r="J690" s="283"/>
      <c r="K690" s="283"/>
      <c r="L690" s="283"/>
      <c r="M690" s="283"/>
      <c r="N690" s="283"/>
      <c r="O690" s="283"/>
      <c r="P690" s="283"/>
      <c r="Q690" s="283"/>
      <c r="R690" s="283"/>
      <c r="S690" s="283"/>
      <c r="T690" s="283"/>
      <c r="U690" s="283"/>
      <c r="V690" s="283"/>
      <c r="W690" s="283"/>
      <c r="X690" s="283"/>
    </row>
    <row r="691" spans="1:24" ht="13.5" customHeight="1" x14ac:dyDescent="0.2">
      <c r="A691" s="283"/>
      <c r="B691" s="283"/>
      <c r="C691" s="283"/>
      <c r="D691" s="283"/>
      <c r="E691" s="283"/>
      <c r="F691" s="283"/>
      <c r="G691" s="283"/>
      <c r="H691" s="283"/>
      <c r="I691" s="283"/>
      <c r="J691" s="283"/>
      <c r="K691" s="283"/>
      <c r="L691" s="283"/>
      <c r="M691" s="283"/>
      <c r="N691" s="283"/>
      <c r="O691" s="283"/>
      <c r="P691" s="283"/>
      <c r="Q691" s="283"/>
      <c r="R691" s="283"/>
      <c r="S691" s="283"/>
      <c r="T691" s="283"/>
      <c r="U691" s="283"/>
      <c r="V691" s="283"/>
      <c r="W691" s="283"/>
      <c r="X691" s="283"/>
    </row>
    <row r="692" spans="1:24" ht="13.5" customHeight="1" x14ac:dyDescent="0.2">
      <c r="A692" s="283"/>
      <c r="B692" s="283"/>
      <c r="C692" s="283"/>
      <c r="D692" s="283"/>
      <c r="E692" s="283"/>
      <c r="F692" s="283"/>
      <c r="G692" s="283"/>
      <c r="H692" s="283"/>
      <c r="I692" s="283"/>
      <c r="J692" s="283"/>
      <c r="K692" s="283"/>
      <c r="L692" s="283"/>
      <c r="M692" s="283"/>
      <c r="N692" s="283"/>
      <c r="O692" s="283"/>
      <c r="P692" s="283"/>
      <c r="Q692" s="283"/>
      <c r="R692" s="283"/>
      <c r="S692" s="283"/>
      <c r="T692" s="283"/>
      <c r="U692" s="283"/>
      <c r="V692" s="283"/>
      <c r="W692" s="283"/>
      <c r="X692" s="283"/>
    </row>
    <row r="693" spans="1:24" ht="13.5" customHeight="1" x14ac:dyDescent="0.2">
      <c r="A693" s="283"/>
      <c r="B693" s="283"/>
      <c r="C693" s="283"/>
      <c r="D693" s="283"/>
      <c r="E693" s="283"/>
      <c r="F693" s="283"/>
      <c r="G693" s="283"/>
      <c r="H693" s="283"/>
      <c r="I693" s="283"/>
      <c r="J693" s="283"/>
      <c r="K693" s="283"/>
      <c r="L693" s="283"/>
      <c r="M693" s="283"/>
      <c r="N693" s="283"/>
      <c r="O693" s="283"/>
      <c r="P693" s="283"/>
      <c r="Q693" s="283"/>
      <c r="R693" s="283"/>
      <c r="S693" s="283"/>
      <c r="T693" s="283"/>
      <c r="U693" s="283"/>
      <c r="V693" s="283"/>
      <c r="W693" s="283"/>
      <c r="X693" s="283"/>
    </row>
    <row r="694" spans="1:24" ht="13.5" customHeight="1" x14ac:dyDescent="0.2">
      <c r="A694" s="283"/>
      <c r="B694" s="283"/>
      <c r="C694" s="283"/>
      <c r="D694" s="283"/>
      <c r="E694" s="283"/>
      <c r="F694" s="283"/>
      <c r="G694" s="283"/>
      <c r="H694" s="283"/>
      <c r="I694" s="283"/>
      <c r="J694" s="283"/>
      <c r="K694" s="283"/>
      <c r="L694" s="283"/>
      <c r="M694" s="283"/>
      <c r="N694" s="283"/>
      <c r="O694" s="283"/>
      <c r="P694" s="283"/>
      <c r="Q694" s="283"/>
      <c r="R694" s="283"/>
      <c r="S694" s="283"/>
      <c r="T694" s="283"/>
      <c r="U694" s="283"/>
      <c r="V694" s="283"/>
      <c r="W694" s="283"/>
      <c r="X694" s="283"/>
    </row>
    <row r="695" spans="1:24" ht="13.5" customHeight="1" x14ac:dyDescent="0.2">
      <c r="A695" s="283"/>
      <c r="B695" s="283"/>
      <c r="C695" s="283"/>
      <c r="D695" s="283"/>
      <c r="E695" s="283"/>
      <c r="F695" s="283"/>
      <c r="G695" s="283"/>
      <c r="H695" s="283"/>
      <c r="I695" s="283"/>
      <c r="J695" s="283"/>
      <c r="K695" s="283"/>
      <c r="L695" s="283"/>
      <c r="M695" s="283"/>
      <c r="N695" s="283"/>
      <c r="O695" s="283"/>
      <c r="P695" s="283"/>
      <c r="Q695" s="283"/>
      <c r="R695" s="283"/>
      <c r="S695" s="283"/>
      <c r="T695" s="283"/>
      <c r="U695" s="283"/>
      <c r="V695" s="283"/>
      <c r="W695" s="283"/>
      <c r="X695" s="283"/>
    </row>
    <row r="696" spans="1:24" ht="13.5" customHeight="1" x14ac:dyDescent="0.2">
      <c r="A696" s="283"/>
      <c r="B696" s="283"/>
      <c r="C696" s="283"/>
      <c r="D696" s="283"/>
      <c r="E696" s="283"/>
      <c r="F696" s="283"/>
      <c r="G696" s="283"/>
      <c r="H696" s="283"/>
      <c r="I696" s="283"/>
      <c r="J696" s="283"/>
      <c r="K696" s="283"/>
      <c r="L696" s="283"/>
      <c r="M696" s="283"/>
      <c r="N696" s="283"/>
      <c r="O696" s="283"/>
      <c r="P696" s="283"/>
      <c r="Q696" s="283"/>
      <c r="R696" s="283"/>
      <c r="S696" s="283"/>
      <c r="T696" s="283"/>
      <c r="U696" s="283"/>
      <c r="V696" s="283"/>
      <c r="W696" s="283"/>
      <c r="X696" s="283"/>
    </row>
    <row r="697" spans="1:24" ht="13.5" customHeight="1" x14ac:dyDescent="0.2">
      <c r="A697" s="283"/>
      <c r="B697" s="283"/>
      <c r="C697" s="283"/>
      <c r="D697" s="283"/>
      <c r="E697" s="283"/>
      <c r="F697" s="283"/>
      <c r="G697" s="283"/>
      <c r="H697" s="283"/>
      <c r="I697" s="283"/>
      <c r="J697" s="283"/>
      <c r="K697" s="283"/>
      <c r="L697" s="283"/>
      <c r="M697" s="283"/>
      <c r="N697" s="283"/>
      <c r="O697" s="283"/>
      <c r="P697" s="283"/>
      <c r="Q697" s="283"/>
      <c r="R697" s="283"/>
      <c r="S697" s="283"/>
      <c r="T697" s="283"/>
      <c r="U697" s="283"/>
      <c r="V697" s="283"/>
      <c r="W697" s="283"/>
      <c r="X697" s="283"/>
    </row>
    <row r="698" spans="1:24" ht="13.5" customHeight="1" x14ac:dyDescent="0.2">
      <c r="A698" s="283"/>
      <c r="B698" s="283"/>
      <c r="C698" s="283"/>
      <c r="D698" s="283"/>
      <c r="E698" s="283"/>
      <c r="F698" s="283"/>
      <c r="G698" s="283"/>
      <c r="H698" s="283"/>
      <c r="I698" s="283"/>
      <c r="J698" s="283"/>
      <c r="K698" s="283"/>
      <c r="L698" s="283"/>
      <c r="M698" s="283"/>
      <c r="N698" s="283"/>
      <c r="O698" s="283"/>
      <c r="P698" s="283"/>
      <c r="Q698" s="283"/>
      <c r="R698" s="283"/>
      <c r="S698" s="283"/>
      <c r="T698" s="283"/>
      <c r="U698" s="283"/>
      <c r="V698" s="283"/>
      <c r="W698" s="283"/>
      <c r="X698" s="283"/>
    </row>
    <row r="699" spans="1:24" ht="13.5" customHeight="1" x14ac:dyDescent="0.2">
      <c r="A699" s="283"/>
      <c r="B699" s="283"/>
      <c r="C699" s="283"/>
      <c r="D699" s="283"/>
      <c r="E699" s="283"/>
      <c r="F699" s="283"/>
      <c r="G699" s="283"/>
      <c r="H699" s="283"/>
      <c r="I699" s="283"/>
      <c r="J699" s="283"/>
      <c r="K699" s="283"/>
      <c r="L699" s="283"/>
      <c r="M699" s="283"/>
      <c r="N699" s="283"/>
      <c r="O699" s="283"/>
      <c r="P699" s="283"/>
      <c r="Q699" s="283"/>
      <c r="R699" s="283"/>
      <c r="S699" s="283"/>
      <c r="T699" s="283"/>
      <c r="U699" s="283"/>
      <c r="V699" s="283"/>
      <c r="W699" s="283"/>
      <c r="X699" s="283"/>
    </row>
    <row r="700" spans="1:24" ht="13.5" customHeight="1" x14ac:dyDescent="0.2">
      <c r="A700" s="283"/>
      <c r="B700" s="283"/>
      <c r="C700" s="283"/>
      <c r="D700" s="283"/>
      <c r="E700" s="283"/>
      <c r="F700" s="283"/>
      <c r="G700" s="283"/>
      <c r="H700" s="283"/>
      <c r="I700" s="283"/>
      <c r="J700" s="283"/>
      <c r="K700" s="283"/>
      <c r="L700" s="283"/>
      <c r="M700" s="283"/>
      <c r="N700" s="283"/>
      <c r="O700" s="283"/>
      <c r="P700" s="283"/>
      <c r="Q700" s="283"/>
      <c r="R700" s="283"/>
      <c r="S700" s="283"/>
      <c r="T700" s="283"/>
      <c r="U700" s="283"/>
      <c r="V700" s="283"/>
      <c r="W700" s="283"/>
      <c r="X700" s="283"/>
    </row>
    <row r="701" spans="1:24" ht="13.5" customHeight="1" x14ac:dyDescent="0.2">
      <c r="A701" s="283"/>
      <c r="B701" s="283"/>
      <c r="C701" s="283"/>
      <c r="D701" s="283"/>
      <c r="E701" s="283"/>
      <c r="F701" s="283"/>
      <c r="G701" s="283"/>
      <c r="H701" s="283"/>
      <c r="I701" s="283"/>
      <c r="J701" s="283"/>
      <c r="K701" s="283"/>
      <c r="L701" s="283"/>
      <c r="M701" s="283"/>
      <c r="N701" s="283"/>
      <c r="O701" s="283"/>
      <c r="P701" s="283"/>
      <c r="Q701" s="283"/>
      <c r="R701" s="283"/>
      <c r="S701" s="283"/>
      <c r="T701" s="283"/>
      <c r="U701" s="283"/>
      <c r="V701" s="283"/>
      <c r="W701" s="283"/>
      <c r="X701" s="283"/>
    </row>
    <row r="702" spans="1:24" ht="13.5" customHeight="1" x14ac:dyDescent="0.2">
      <c r="A702" s="283"/>
      <c r="B702" s="283"/>
      <c r="C702" s="283"/>
      <c r="D702" s="283"/>
      <c r="E702" s="283"/>
      <c r="F702" s="283"/>
      <c r="G702" s="283"/>
      <c r="H702" s="283"/>
      <c r="I702" s="283"/>
      <c r="J702" s="283"/>
      <c r="K702" s="283"/>
      <c r="L702" s="283"/>
      <c r="M702" s="283"/>
      <c r="N702" s="283"/>
      <c r="O702" s="283"/>
      <c r="P702" s="283"/>
      <c r="Q702" s="283"/>
      <c r="R702" s="283"/>
      <c r="S702" s="283"/>
      <c r="T702" s="283"/>
      <c r="U702" s="283"/>
      <c r="V702" s="283"/>
      <c r="W702" s="283"/>
      <c r="X702" s="283"/>
    </row>
    <row r="703" spans="1:24" ht="13.5" customHeight="1" x14ac:dyDescent="0.2">
      <c r="A703" s="283"/>
      <c r="B703" s="283"/>
      <c r="C703" s="283"/>
      <c r="D703" s="283"/>
      <c r="E703" s="283"/>
      <c r="F703" s="283"/>
      <c r="G703" s="283"/>
      <c r="H703" s="283"/>
      <c r="I703" s="283"/>
      <c r="J703" s="283"/>
      <c r="K703" s="283"/>
      <c r="L703" s="283"/>
      <c r="M703" s="283"/>
      <c r="N703" s="283"/>
      <c r="O703" s="283"/>
      <c r="P703" s="283"/>
      <c r="Q703" s="283"/>
      <c r="R703" s="283"/>
      <c r="S703" s="283"/>
      <c r="T703" s="283"/>
      <c r="U703" s="283"/>
      <c r="V703" s="283"/>
      <c r="W703" s="283"/>
      <c r="X703" s="283"/>
    </row>
    <row r="704" spans="1:24" ht="13.5" customHeight="1" x14ac:dyDescent="0.2">
      <c r="A704" s="283"/>
      <c r="B704" s="283"/>
      <c r="C704" s="283"/>
      <c r="D704" s="283"/>
      <c r="E704" s="283"/>
      <c r="F704" s="283"/>
      <c r="G704" s="283"/>
      <c r="H704" s="283"/>
      <c r="I704" s="283"/>
      <c r="J704" s="283"/>
      <c r="K704" s="283"/>
      <c r="L704" s="283"/>
      <c r="M704" s="283"/>
      <c r="N704" s="283"/>
      <c r="O704" s="283"/>
      <c r="P704" s="283"/>
      <c r="Q704" s="283"/>
      <c r="R704" s="283"/>
      <c r="S704" s="283"/>
      <c r="T704" s="283"/>
      <c r="U704" s="283"/>
      <c r="V704" s="283"/>
      <c r="W704" s="283"/>
      <c r="X704" s="283"/>
    </row>
    <row r="705" spans="1:24" ht="13.5" customHeight="1" x14ac:dyDescent="0.2">
      <c r="A705" s="283"/>
      <c r="B705" s="283"/>
      <c r="C705" s="283"/>
      <c r="D705" s="283"/>
      <c r="E705" s="283"/>
      <c r="F705" s="283"/>
      <c r="G705" s="283"/>
      <c r="H705" s="283"/>
      <c r="I705" s="283"/>
      <c r="J705" s="283"/>
      <c r="K705" s="283"/>
      <c r="L705" s="283"/>
      <c r="M705" s="283"/>
      <c r="N705" s="283"/>
      <c r="O705" s="283"/>
      <c r="P705" s="283"/>
      <c r="Q705" s="283"/>
      <c r="R705" s="283"/>
      <c r="S705" s="283"/>
      <c r="T705" s="283"/>
      <c r="U705" s="283"/>
      <c r="V705" s="283"/>
      <c r="W705" s="283"/>
      <c r="X705" s="283"/>
    </row>
    <row r="706" spans="1:24" ht="13.5" customHeight="1" x14ac:dyDescent="0.2">
      <c r="A706" s="283"/>
      <c r="B706" s="283"/>
      <c r="C706" s="283"/>
      <c r="D706" s="283"/>
      <c r="E706" s="283"/>
      <c r="F706" s="283"/>
      <c r="G706" s="283"/>
      <c r="H706" s="283"/>
      <c r="I706" s="283"/>
      <c r="J706" s="283"/>
      <c r="K706" s="283"/>
      <c r="L706" s="283"/>
      <c r="M706" s="283"/>
      <c r="N706" s="283"/>
      <c r="O706" s="283"/>
      <c r="P706" s="283"/>
      <c r="Q706" s="283"/>
      <c r="R706" s="283"/>
      <c r="S706" s="283"/>
      <c r="T706" s="283"/>
      <c r="U706" s="283"/>
      <c r="V706" s="283"/>
      <c r="W706" s="283"/>
      <c r="X706" s="283"/>
    </row>
    <row r="707" spans="1:24" ht="13.5" customHeight="1" x14ac:dyDescent="0.2">
      <c r="A707" s="283"/>
      <c r="B707" s="283"/>
      <c r="C707" s="283"/>
      <c r="D707" s="283"/>
      <c r="E707" s="283"/>
      <c r="F707" s="283"/>
      <c r="G707" s="283"/>
      <c r="H707" s="283"/>
      <c r="I707" s="283"/>
      <c r="J707" s="283"/>
      <c r="K707" s="283"/>
      <c r="L707" s="283"/>
      <c r="M707" s="283"/>
      <c r="N707" s="283"/>
      <c r="O707" s="283"/>
      <c r="P707" s="283"/>
      <c r="Q707" s="283"/>
      <c r="R707" s="283"/>
      <c r="S707" s="283"/>
      <c r="T707" s="283"/>
      <c r="U707" s="283"/>
      <c r="V707" s="283"/>
      <c r="W707" s="283"/>
      <c r="X707" s="283"/>
    </row>
    <row r="708" spans="1:24" ht="13.5" customHeight="1" x14ac:dyDescent="0.2">
      <c r="A708" s="283"/>
      <c r="B708" s="283"/>
      <c r="C708" s="283"/>
      <c r="D708" s="283"/>
      <c r="E708" s="283"/>
      <c r="F708" s="283"/>
      <c r="G708" s="283"/>
      <c r="H708" s="283"/>
      <c r="I708" s="283"/>
      <c r="J708" s="283"/>
      <c r="K708" s="283"/>
      <c r="L708" s="283"/>
      <c r="M708" s="283"/>
      <c r="N708" s="283"/>
      <c r="O708" s="283"/>
      <c r="P708" s="283"/>
      <c r="Q708" s="283"/>
      <c r="R708" s="283"/>
      <c r="S708" s="283"/>
      <c r="T708" s="283"/>
      <c r="U708" s="283"/>
      <c r="V708" s="283"/>
      <c r="W708" s="283"/>
      <c r="X708" s="283"/>
    </row>
    <row r="709" spans="1:24" ht="13.5" customHeight="1" x14ac:dyDescent="0.2">
      <c r="A709" s="283"/>
      <c r="B709" s="283"/>
      <c r="C709" s="283"/>
      <c r="D709" s="283"/>
      <c r="E709" s="283"/>
      <c r="F709" s="283"/>
      <c r="G709" s="283"/>
      <c r="H709" s="283"/>
      <c r="I709" s="283"/>
      <c r="J709" s="283"/>
      <c r="K709" s="283"/>
      <c r="L709" s="283"/>
      <c r="M709" s="283"/>
      <c r="N709" s="283"/>
      <c r="O709" s="283"/>
      <c r="P709" s="283"/>
      <c r="Q709" s="283"/>
      <c r="R709" s="283"/>
      <c r="S709" s="283"/>
      <c r="T709" s="283"/>
      <c r="U709" s="283"/>
      <c r="V709" s="283"/>
      <c r="W709" s="283"/>
      <c r="X709" s="283"/>
    </row>
    <row r="710" spans="1:24" ht="13.5" customHeight="1" x14ac:dyDescent="0.2">
      <c r="A710" s="283"/>
      <c r="B710" s="283"/>
      <c r="C710" s="283"/>
      <c r="D710" s="283"/>
      <c r="E710" s="283"/>
      <c r="F710" s="283"/>
      <c r="G710" s="283"/>
      <c r="H710" s="283"/>
      <c r="I710" s="283"/>
      <c r="J710" s="283"/>
      <c r="K710" s="283"/>
      <c r="L710" s="283"/>
      <c r="M710" s="283"/>
      <c r="N710" s="283"/>
      <c r="O710" s="283"/>
      <c r="P710" s="283"/>
      <c r="Q710" s="283"/>
      <c r="R710" s="283"/>
      <c r="S710" s="283"/>
      <c r="T710" s="283"/>
      <c r="U710" s="283"/>
      <c r="V710" s="283"/>
      <c r="W710" s="283"/>
      <c r="X710" s="283"/>
    </row>
    <row r="711" spans="1:24" ht="13.5" customHeight="1" x14ac:dyDescent="0.2">
      <c r="A711" s="283"/>
      <c r="B711" s="283"/>
      <c r="C711" s="283"/>
      <c r="D711" s="283"/>
      <c r="E711" s="283"/>
      <c r="F711" s="283"/>
      <c r="G711" s="283"/>
      <c r="H711" s="283"/>
      <c r="I711" s="283"/>
      <c r="J711" s="283"/>
      <c r="K711" s="283"/>
      <c r="L711" s="283"/>
      <c r="M711" s="283"/>
      <c r="N711" s="283"/>
      <c r="O711" s="283"/>
      <c r="P711" s="283"/>
      <c r="Q711" s="283"/>
      <c r="R711" s="283"/>
      <c r="S711" s="283"/>
      <c r="T711" s="283"/>
      <c r="U711" s="283"/>
      <c r="V711" s="283"/>
      <c r="W711" s="283"/>
      <c r="X711" s="283"/>
    </row>
    <row r="712" spans="1:24" ht="13.5" customHeight="1" x14ac:dyDescent="0.2">
      <c r="A712" s="283"/>
      <c r="B712" s="283"/>
      <c r="C712" s="283"/>
      <c r="D712" s="283"/>
      <c r="E712" s="283"/>
      <c r="F712" s="283"/>
      <c r="G712" s="283"/>
      <c r="H712" s="283"/>
      <c r="I712" s="283"/>
      <c r="J712" s="283"/>
      <c r="K712" s="283"/>
      <c r="L712" s="283"/>
      <c r="M712" s="283"/>
      <c r="N712" s="283"/>
      <c r="O712" s="283"/>
      <c r="P712" s="283"/>
      <c r="Q712" s="283"/>
      <c r="R712" s="283"/>
      <c r="S712" s="283"/>
      <c r="T712" s="283"/>
      <c r="U712" s="283"/>
      <c r="V712" s="283"/>
      <c r="W712" s="283"/>
      <c r="X712" s="283"/>
    </row>
    <row r="713" spans="1:24" ht="13.5" customHeight="1" x14ac:dyDescent="0.2">
      <c r="A713" s="283"/>
      <c r="B713" s="283"/>
      <c r="C713" s="283"/>
      <c r="D713" s="283"/>
      <c r="E713" s="283"/>
      <c r="F713" s="283"/>
      <c r="G713" s="283"/>
      <c r="H713" s="283"/>
      <c r="I713" s="283"/>
      <c r="J713" s="283"/>
      <c r="K713" s="283"/>
      <c r="L713" s="283"/>
      <c r="M713" s="283"/>
      <c r="N713" s="283"/>
      <c r="O713" s="283"/>
      <c r="P713" s="283"/>
      <c r="Q713" s="283"/>
      <c r="R713" s="283"/>
      <c r="S713" s="283"/>
      <c r="T713" s="283"/>
      <c r="U713" s="283"/>
      <c r="V713" s="283"/>
      <c r="W713" s="283"/>
      <c r="X713" s="283"/>
    </row>
    <row r="714" spans="1:24" ht="13.5" customHeight="1" x14ac:dyDescent="0.2">
      <c r="A714" s="283"/>
      <c r="B714" s="283"/>
      <c r="C714" s="283"/>
      <c r="D714" s="283"/>
      <c r="E714" s="283"/>
      <c r="F714" s="283"/>
      <c r="G714" s="283"/>
      <c r="H714" s="283"/>
      <c r="I714" s="283"/>
      <c r="J714" s="283"/>
      <c r="K714" s="283"/>
      <c r="L714" s="283"/>
      <c r="M714" s="283"/>
      <c r="N714" s="283"/>
      <c r="O714" s="283"/>
      <c r="P714" s="283"/>
      <c r="Q714" s="283"/>
      <c r="R714" s="283"/>
      <c r="S714" s="283"/>
      <c r="T714" s="283"/>
      <c r="U714" s="283"/>
      <c r="V714" s="283"/>
      <c r="W714" s="283"/>
      <c r="X714" s="283"/>
    </row>
    <row r="715" spans="1:24" ht="13.5" customHeight="1" x14ac:dyDescent="0.2">
      <c r="A715" s="283"/>
      <c r="B715" s="283"/>
      <c r="C715" s="283"/>
      <c r="D715" s="283"/>
      <c r="E715" s="283"/>
      <c r="F715" s="283"/>
      <c r="G715" s="283"/>
      <c r="H715" s="283"/>
      <c r="I715" s="283"/>
      <c r="J715" s="283"/>
      <c r="K715" s="283"/>
      <c r="L715" s="283"/>
      <c r="M715" s="283"/>
      <c r="N715" s="283"/>
      <c r="O715" s="283"/>
      <c r="P715" s="283"/>
      <c r="Q715" s="283"/>
      <c r="R715" s="283"/>
      <c r="S715" s="283"/>
      <c r="T715" s="283"/>
      <c r="U715" s="283"/>
      <c r="V715" s="283"/>
      <c r="W715" s="283"/>
      <c r="X715" s="283"/>
    </row>
    <row r="716" spans="1:24" ht="13.5" customHeight="1" x14ac:dyDescent="0.2">
      <c r="A716" s="283"/>
      <c r="B716" s="283"/>
      <c r="C716" s="283"/>
      <c r="D716" s="283"/>
      <c r="E716" s="283"/>
      <c r="F716" s="283"/>
      <c r="G716" s="283"/>
      <c r="H716" s="283"/>
      <c r="I716" s="283"/>
      <c r="J716" s="283"/>
      <c r="K716" s="283"/>
      <c r="L716" s="283"/>
      <c r="M716" s="283"/>
      <c r="N716" s="283"/>
      <c r="O716" s="283"/>
      <c r="P716" s="283"/>
      <c r="Q716" s="283"/>
      <c r="R716" s="283"/>
      <c r="S716" s="283"/>
      <c r="T716" s="283"/>
      <c r="U716" s="283"/>
      <c r="V716" s="283"/>
      <c r="W716" s="283"/>
      <c r="X716" s="283"/>
    </row>
    <row r="717" spans="1:24" ht="13.5" customHeight="1" x14ac:dyDescent="0.2">
      <c r="A717" s="283"/>
      <c r="B717" s="283"/>
      <c r="C717" s="283"/>
      <c r="D717" s="283"/>
      <c r="E717" s="283"/>
      <c r="F717" s="283"/>
      <c r="G717" s="283"/>
      <c r="H717" s="283"/>
      <c r="I717" s="283"/>
      <c r="J717" s="283"/>
      <c r="K717" s="283"/>
      <c r="L717" s="283"/>
      <c r="M717" s="283"/>
      <c r="N717" s="283"/>
      <c r="O717" s="283"/>
      <c r="P717" s="283"/>
      <c r="Q717" s="283"/>
      <c r="R717" s="283"/>
      <c r="S717" s="283"/>
      <c r="T717" s="283"/>
      <c r="U717" s="283"/>
      <c r="V717" s="283"/>
      <c r="W717" s="283"/>
      <c r="X717" s="283"/>
    </row>
    <row r="718" spans="1:24" ht="13.5" customHeight="1" x14ac:dyDescent="0.2">
      <c r="A718" s="283"/>
      <c r="B718" s="283"/>
      <c r="C718" s="283"/>
      <c r="D718" s="283"/>
      <c r="E718" s="283"/>
      <c r="F718" s="283"/>
      <c r="G718" s="283"/>
      <c r="H718" s="283"/>
      <c r="I718" s="283"/>
      <c r="J718" s="283"/>
      <c r="K718" s="283"/>
      <c r="L718" s="283"/>
      <c r="M718" s="283"/>
      <c r="N718" s="283"/>
      <c r="O718" s="283"/>
      <c r="P718" s="283"/>
      <c r="Q718" s="283"/>
      <c r="R718" s="283"/>
      <c r="S718" s="283"/>
      <c r="T718" s="283"/>
      <c r="U718" s="283"/>
      <c r="V718" s="283"/>
      <c r="W718" s="283"/>
      <c r="X718" s="283"/>
    </row>
    <row r="719" spans="1:24" ht="13.5" customHeight="1" x14ac:dyDescent="0.2">
      <c r="A719" s="283"/>
      <c r="B719" s="283"/>
      <c r="C719" s="283"/>
      <c r="D719" s="283"/>
      <c r="E719" s="283"/>
      <c r="F719" s="283"/>
      <c r="G719" s="283"/>
      <c r="H719" s="283"/>
      <c r="I719" s="283"/>
      <c r="J719" s="283"/>
      <c r="K719" s="283"/>
      <c r="L719" s="283"/>
      <c r="M719" s="283"/>
      <c r="N719" s="283"/>
      <c r="O719" s="283"/>
      <c r="P719" s="283"/>
      <c r="Q719" s="283"/>
      <c r="R719" s="283"/>
      <c r="S719" s="283"/>
      <c r="T719" s="283"/>
      <c r="U719" s="283"/>
      <c r="V719" s="283"/>
      <c r="W719" s="283"/>
      <c r="X719" s="283"/>
    </row>
    <row r="720" spans="1:24" ht="13.5" customHeight="1" x14ac:dyDescent="0.2">
      <c r="A720" s="283"/>
      <c r="B720" s="283"/>
      <c r="C720" s="283"/>
      <c r="D720" s="283"/>
      <c r="E720" s="283"/>
      <c r="F720" s="283"/>
      <c r="G720" s="283"/>
      <c r="H720" s="283"/>
      <c r="I720" s="283"/>
      <c r="J720" s="283"/>
      <c r="K720" s="283"/>
      <c r="L720" s="283"/>
      <c r="M720" s="283"/>
      <c r="N720" s="283"/>
      <c r="O720" s="283"/>
      <c r="P720" s="283"/>
      <c r="Q720" s="283"/>
      <c r="R720" s="283"/>
      <c r="S720" s="283"/>
      <c r="T720" s="283"/>
      <c r="U720" s="283"/>
      <c r="V720" s="283"/>
      <c r="W720" s="283"/>
      <c r="X720" s="283"/>
    </row>
    <row r="721" spans="1:24" ht="13.5" customHeight="1" x14ac:dyDescent="0.2">
      <c r="A721" s="283"/>
      <c r="B721" s="283"/>
      <c r="C721" s="283"/>
      <c r="D721" s="283"/>
      <c r="E721" s="283"/>
      <c r="F721" s="283"/>
      <c r="G721" s="283"/>
      <c r="H721" s="283"/>
      <c r="I721" s="283"/>
      <c r="J721" s="283"/>
      <c r="K721" s="283"/>
      <c r="L721" s="283"/>
      <c r="M721" s="283"/>
      <c r="N721" s="283"/>
      <c r="O721" s="283"/>
      <c r="P721" s="283"/>
      <c r="Q721" s="283"/>
      <c r="R721" s="283"/>
      <c r="S721" s="283"/>
      <c r="T721" s="283"/>
      <c r="U721" s="283"/>
      <c r="V721" s="283"/>
      <c r="W721" s="283"/>
      <c r="X721" s="283"/>
    </row>
    <row r="722" spans="1:24" ht="13.5" customHeight="1" x14ac:dyDescent="0.2">
      <c r="A722" s="283"/>
      <c r="B722" s="283"/>
      <c r="C722" s="283"/>
      <c r="D722" s="283"/>
      <c r="E722" s="283"/>
      <c r="F722" s="283"/>
      <c r="G722" s="283"/>
      <c r="H722" s="283"/>
      <c r="I722" s="283"/>
      <c r="J722" s="283"/>
      <c r="K722" s="283"/>
      <c r="L722" s="283"/>
      <c r="M722" s="283"/>
      <c r="N722" s="283"/>
      <c r="O722" s="283"/>
      <c r="P722" s="283"/>
      <c r="Q722" s="283"/>
      <c r="R722" s="283"/>
      <c r="S722" s="283"/>
      <c r="T722" s="283"/>
      <c r="U722" s="283"/>
      <c r="V722" s="283"/>
      <c r="W722" s="283"/>
      <c r="X722" s="283"/>
    </row>
    <row r="723" spans="1:24" ht="13.5" customHeight="1" x14ac:dyDescent="0.2">
      <c r="A723" s="283"/>
      <c r="B723" s="283"/>
      <c r="C723" s="283"/>
      <c r="D723" s="283"/>
      <c r="E723" s="283"/>
      <c r="F723" s="283"/>
      <c r="G723" s="283"/>
      <c r="H723" s="283"/>
      <c r="I723" s="283"/>
      <c r="J723" s="283"/>
      <c r="K723" s="283"/>
      <c r="L723" s="283"/>
      <c r="M723" s="283"/>
      <c r="N723" s="283"/>
      <c r="O723" s="283"/>
      <c r="P723" s="283"/>
      <c r="Q723" s="283"/>
      <c r="R723" s="283"/>
      <c r="S723" s="283"/>
      <c r="T723" s="283"/>
      <c r="U723" s="283"/>
      <c r="V723" s="283"/>
      <c r="W723" s="283"/>
      <c r="X723" s="283"/>
    </row>
    <row r="724" spans="1:24" ht="13.5" customHeight="1" x14ac:dyDescent="0.2">
      <c r="A724" s="283"/>
      <c r="B724" s="283"/>
      <c r="C724" s="283"/>
      <c r="D724" s="283"/>
      <c r="E724" s="283"/>
      <c r="F724" s="283"/>
      <c r="G724" s="283"/>
      <c r="H724" s="283"/>
      <c r="I724" s="283"/>
      <c r="J724" s="283"/>
      <c r="K724" s="283"/>
      <c r="L724" s="283"/>
      <c r="M724" s="283"/>
      <c r="N724" s="283"/>
      <c r="O724" s="283"/>
      <c r="P724" s="283"/>
      <c r="Q724" s="283"/>
      <c r="R724" s="283"/>
      <c r="S724" s="283"/>
      <c r="T724" s="283"/>
      <c r="U724" s="283"/>
      <c r="V724" s="283"/>
      <c r="W724" s="283"/>
      <c r="X724" s="283"/>
    </row>
    <row r="725" spans="1:24" ht="13.5" customHeight="1" x14ac:dyDescent="0.2">
      <c r="A725" s="283"/>
      <c r="B725" s="283"/>
      <c r="C725" s="283"/>
      <c r="D725" s="283"/>
      <c r="E725" s="283"/>
      <c r="F725" s="283"/>
      <c r="G725" s="283"/>
      <c r="H725" s="283"/>
      <c r="I725" s="283"/>
      <c r="J725" s="283"/>
      <c r="K725" s="283"/>
      <c r="L725" s="283"/>
      <c r="M725" s="283"/>
      <c r="N725" s="283"/>
      <c r="O725" s="283"/>
      <c r="P725" s="283"/>
      <c r="Q725" s="283"/>
      <c r="R725" s="283"/>
      <c r="S725" s="283"/>
      <c r="T725" s="283"/>
      <c r="U725" s="283"/>
      <c r="V725" s="283"/>
      <c r="W725" s="283"/>
      <c r="X725" s="283"/>
    </row>
    <row r="726" spans="1:24" ht="13.5" customHeight="1" x14ac:dyDescent="0.2">
      <c r="A726" s="283"/>
      <c r="B726" s="283"/>
      <c r="C726" s="283"/>
      <c r="D726" s="283"/>
      <c r="E726" s="283"/>
      <c r="F726" s="283"/>
      <c r="G726" s="283"/>
      <c r="H726" s="283"/>
      <c r="I726" s="283"/>
      <c r="J726" s="283"/>
      <c r="K726" s="283"/>
      <c r="L726" s="283"/>
      <c r="M726" s="283"/>
      <c r="N726" s="283"/>
      <c r="O726" s="283"/>
      <c r="P726" s="283"/>
      <c r="Q726" s="283"/>
      <c r="R726" s="283"/>
      <c r="S726" s="283"/>
      <c r="T726" s="283"/>
      <c r="U726" s="283"/>
      <c r="V726" s="283"/>
      <c r="W726" s="283"/>
      <c r="X726" s="283"/>
    </row>
    <row r="727" spans="1:24" ht="13.5" customHeight="1" x14ac:dyDescent="0.2">
      <c r="A727" s="283"/>
      <c r="B727" s="283"/>
      <c r="C727" s="283"/>
      <c r="D727" s="283"/>
      <c r="E727" s="283"/>
      <c r="F727" s="283"/>
      <c r="G727" s="283"/>
      <c r="H727" s="283"/>
      <c r="I727" s="283"/>
      <c r="J727" s="283"/>
      <c r="K727" s="283"/>
      <c r="L727" s="283"/>
      <c r="M727" s="283"/>
      <c r="N727" s="283"/>
      <c r="O727" s="283"/>
      <c r="P727" s="283"/>
      <c r="Q727" s="283"/>
      <c r="R727" s="283"/>
      <c r="S727" s="283"/>
      <c r="T727" s="283"/>
      <c r="U727" s="283"/>
      <c r="V727" s="283"/>
      <c r="W727" s="283"/>
      <c r="X727" s="283"/>
    </row>
    <row r="728" spans="1:24" ht="13.5" customHeight="1" x14ac:dyDescent="0.2">
      <c r="A728" s="283"/>
      <c r="B728" s="283"/>
      <c r="C728" s="283"/>
      <c r="D728" s="283"/>
      <c r="E728" s="283"/>
      <c r="F728" s="283"/>
      <c r="G728" s="283"/>
      <c r="H728" s="283"/>
      <c r="I728" s="283"/>
      <c r="J728" s="283"/>
      <c r="K728" s="283"/>
      <c r="L728" s="283"/>
      <c r="M728" s="283"/>
      <c r="N728" s="283"/>
      <c r="O728" s="283"/>
      <c r="P728" s="283"/>
      <c r="Q728" s="283"/>
      <c r="R728" s="283"/>
      <c r="S728" s="283"/>
      <c r="T728" s="283"/>
      <c r="U728" s="283"/>
      <c r="V728" s="283"/>
      <c r="W728" s="283"/>
      <c r="X728" s="283"/>
    </row>
    <row r="729" spans="1:24" ht="13.5" customHeight="1" x14ac:dyDescent="0.2">
      <c r="A729" s="283"/>
      <c r="B729" s="283"/>
      <c r="C729" s="283"/>
      <c r="D729" s="283"/>
      <c r="E729" s="283"/>
      <c r="F729" s="283"/>
      <c r="G729" s="283"/>
      <c r="H729" s="283"/>
      <c r="I729" s="283"/>
      <c r="J729" s="283"/>
      <c r="K729" s="283"/>
      <c r="L729" s="283"/>
      <c r="M729" s="283"/>
      <c r="N729" s="283"/>
      <c r="O729" s="283"/>
      <c r="P729" s="283"/>
      <c r="Q729" s="283"/>
      <c r="R729" s="283"/>
      <c r="S729" s="283"/>
      <c r="T729" s="283"/>
      <c r="U729" s="283"/>
      <c r="V729" s="283"/>
      <c r="W729" s="283"/>
      <c r="X729" s="283"/>
    </row>
    <row r="730" spans="1:24" ht="13.5" customHeight="1" x14ac:dyDescent="0.2">
      <c r="A730" s="283"/>
      <c r="B730" s="283"/>
      <c r="C730" s="283"/>
      <c r="D730" s="283"/>
      <c r="E730" s="283"/>
      <c r="F730" s="283"/>
      <c r="G730" s="283"/>
      <c r="H730" s="283"/>
      <c r="I730" s="283"/>
      <c r="J730" s="283"/>
      <c r="K730" s="283"/>
      <c r="L730" s="283"/>
      <c r="M730" s="283"/>
      <c r="N730" s="283"/>
      <c r="O730" s="283"/>
      <c r="P730" s="283"/>
      <c r="Q730" s="283"/>
      <c r="R730" s="283"/>
      <c r="S730" s="283"/>
      <c r="T730" s="283"/>
      <c r="U730" s="283"/>
      <c r="V730" s="283"/>
      <c r="W730" s="283"/>
      <c r="X730" s="283"/>
    </row>
    <row r="731" spans="1:24" ht="13.5" customHeight="1" x14ac:dyDescent="0.2">
      <c r="A731" s="283"/>
      <c r="B731" s="283"/>
      <c r="C731" s="283"/>
      <c r="D731" s="283"/>
      <c r="E731" s="283"/>
      <c r="F731" s="283"/>
      <c r="G731" s="283"/>
      <c r="H731" s="283"/>
      <c r="I731" s="283"/>
      <c r="J731" s="283"/>
      <c r="K731" s="283"/>
      <c r="L731" s="283"/>
      <c r="M731" s="283"/>
      <c r="N731" s="283"/>
      <c r="O731" s="283"/>
      <c r="P731" s="283"/>
      <c r="Q731" s="283"/>
      <c r="R731" s="283"/>
      <c r="S731" s="283"/>
      <c r="T731" s="283"/>
      <c r="U731" s="283"/>
      <c r="V731" s="283"/>
      <c r="W731" s="283"/>
      <c r="X731" s="283"/>
    </row>
    <row r="732" spans="1:24" ht="13.5" customHeight="1" x14ac:dyDescent="0.2">
      <c r="A732" s="283"/>
      <c r="B732" s="283"/>
      <c r="C732" s="283"/>
      <c r="D732" s="283"/>
      <c r="E732" s="283"/>
      <c r="F732" s="283"/>
      <c r="G732" s="283"/>
      <c r="H732" s="283"/>
      <c r="I732" s="283"/>
      <c r="J732" s="283"/>
      <c r="K732" s="283"/>
      <c r="L732" s="283"/>
      <c r="M732" s="283"/>
      <c r="N732" s="283"/>
      <c r="O732" s="283"/>
      <c r="P732" s="283"/>
      <c r="Q732" s="283"/>
      <c r="R732" s="283"/>
      <c r="S732" s="283"/>
      <c r="T732" s="283"/>
      <c r="U732" s="283"/>
      <c r="V732" s="283"/>
      <c r="W732" s="283"/>
      <c r="X732" s="283"/>
    </row>
    <row r="733" spans="1:24" ht="13.5" customHeight="1" x14ac:dyDescent="0.2">
      <c r="A733" s="283"/>
      <c r="B733" s="283"/>
      <c r="C733" s="283"/>
      <c r="D733" s="283"/>
      <c r="E733" s="283"/>
      <c r="F733" s="283"/>
      <c r="G733" s="283"/>
      <c r="H733" s="283"/>
      <c r="I733" s="283"/>
      <c r="J733" s="283"/>
      <c r="K733" s="283"/>
      <c r="L733" s="283"/>
      <c r="M733" s="283"/>
      <c r="N733" s="283"/>
      <c r="O733" s="283"/>
      <c r="P733" s="283"/>
      <c r="Q733" s="283"/>
      <c r="R733" s="283"/>
      <c r="S733" s="283"/>
      <c r="T733" s="283"/>
      <c r="U733" s="283"/>
      <c r="V733" s="283"/>
      <c r="W733" s="283"/>
      <c r="X733" s="283"/>
    </row>
    <row r="734" spans="1:24" ht="13.5" customHeight="1" x14ac:dyDescent="0.2">
      <c r="A734" s="283"/>
      <c r="B734" s="283"/>
      <c r="C734" s="283"/>
      <c r="D734" s="283"/>
      <c r="E734" s="283"/>
      <c r="F734" s="283"/>
      <c r="G734" s="283"/>
      <c r="H734" s="283"/>
      <c r="I734" s="283"/>
      <c r="J734" s="283"/>
      <c r="K734" s="283"/>
      <c r="L734" s="283"/>
      <c r="M734" s="283"/>
      <c r="N734" s="283"/>
      <c r="O734" s="283"/>
      <c r="P734" s="283"/>
      <c r="Q734" s="283"/>
      <c r="R734" s="283"/>
      <c r="S734" s="283"/>
      <c r="T734" s="283"/>
      <c r="U734" s="283"/>
      <c r="V734" s="283"/>
      <c r="W734" s="283"/>
      <c r="X734" s="283"/>
    </row>
    <row r="735" spans="1:24" ht="13.5" customHeight="1" x14ac:dyDescent="0.2">
      <c r="A735" s="283"/>
      <c r="B735" s="283"/>
      <c r="C735" s="283"/>
      <c r="D735" s="283"/>
      <c r="E735" s="283"/>
      <c r="F735" s="283"/>
      <c r="G735" s="283"/>
      <c r="H735" s="283"/>
      <c r="I735" s="283"/>
      <c r="J735" s="283"/>
      <c r="K735" s="283"/>
      <c r="L735" s="283"/>
      <c r="M735" s="283"/>
      <c r="N735" s="283"/>
      <c r="O735" s="283"/>
      <c r="P735" s="283"/>
      <c r="Q735" s="283"/>
      <c r="R735" s="283"/>
      <c r="S735" s="283"/>
      <c r="T735" s="283"/>
      <c r="U735" s="283"/>
      <c r="V735" s="283"/>
      <c r="W735" s="283"/>
      <c r="X735" s="283"/>
    </row>
    <row r="736" spans="1:24" ht="13.5" customHeight="1" x14ac:dyDescent="0.2">
      <c r="A736" s="283"/>
      <c r="B736" s="283"/>
      <c r="C736" s="283"/>
      <c r="D736" s="283"/>
      <c r="E736" s="283"/>
      <c r="F736" s="283"/>
      <c r="G736" s="283"/>
      <c r="H736" s="283"/>
      <c r="I736" s="283"/>
      <c r="J736" s="283"/>
      <c r="K736" s="283"/>
      <c r="L736" s="283"/>
      <c r="M736" s="283"/>
      <c r="N736" s="283"/>
      <c r="O736" s="283"/>
      <c r="P736" s="283"/>
      <c r="Q736" s="283"/>
      <c r="R736" s="283"/>
      <c r="S736" s="283"/>
      <c r="T736" s="283"/>
      <c r="U736" s="283"/>
      <c r="V736" s="283"/>
      <c r="W736" s="283"/>
      <c r="X736" s="283"/>
    </row>
    <row r="737" spans="1:24" ht="13.5" customHeight="1" x14ac:dyDescent="0.2">
      <c r="A737" s="283"/>
      <c r="B737" s="283"/>
      <c r="C737" s="283"/>
      <c r="D737" s="283"/>
      <c r="E737" s="283"/>
      <c r="F737" s="283"/>
      <c r="G737" s="283"/>
      <c r="H737" s="283"/>
      <c r="I737" s="283"/>
      <c r="J737" s="283"/>
      <c r="K737" s="283"/>
      <c r="L737" s="283"/>
      <c r="M737" s="283"/>
      <c r="N737" s="283"/>
      <c r="O737" s="283"/>
      <c r="P737" s="283"/>
      <c r="Q737" s="283"/>
      <c r="R737" s="283"/>
      <c r="S737" s="283"/>
      <c r="T737" s="283"/>
      <c r="U737" s="283"/>
      <c r="V737" s="283"/>
      <c r="W737" s="283"/>
      <c r="X737" s="283"/>
    </row>
    <row r="738" spans="1:24" ht="13.5" customHeight="1" x14ac:dyDescent="0.2">
      <c r="A738" s="283"/>
      <c r="B738" s="283"/>
      <c r="C738" s="283"/>
      <c r="D738" s="283"/>
      <c r="E738" s="283"/>
      <c r="F738" s="283"/>
      <c r="G738" s="283"/>
      <c r="H738" s="283"/>
      <c r="I738" s="283"/>
      <c r="J738" s="283"/>
      <c r="K738" s="283"/>
      <c r="L738" s="283"/>
      <c r="M738" s="283"/>
      <c r="N738" s="283"/>
      <c r="O738" s="283"/>
      <c r="P738" s="283"/>
      <c r="Q738" s="283"/>
      <c r="R738" s="283"/>
      <c r="S738" s="283"/>
      <c r="T738" s="283"/>
      <c r="U738" s="283"/>
      <c r="V738" s="283"/>
      <c r="W738" s="283"/>
      <c r="X738" s="283"/>
    </row>
    <row r="739" spans="1:24" ht="13.5" customHeight="1" x14ac:dyDescent="0.2">
      <c r="A739" s="283"/>
      <c r="B739" s="283"/>
      <c r="C739" s="283"/>
      <c r="D739" s="283"/>
      <c r="E739" s="283"/>
      <c r="F739" s="283"/>
      <c r="G739" s="283"/>
      <c r="H739" s="283"/>
      <c r="I739" s="283"/>
      <c r="J739" s="283"/>
      <c r="K739" s="283"/>
      <c r="L739" s="283"/>
      <c r="M739" s="283"/>
      <c r="N739" s="283"/>
      <c r="O739" s="283"/>
      <c r="P739" s="283"/>
      <c r="Q739" s="283"/>
      <c r="R739" s="283"/>
      <c r="S739" s="283"/>
      <c r="T739" s="283"/>
      <c r="U739" s="283"/>
      <c r="V739" s="283"/>
      <c r="W739" s="283"/>
      <c r="X739" s="283"/>
    </row>
    <row r="740" spans="1:24" ht="13.5" customHeight="1" x14ac:dyDescent="0.2">
      <c r="A740" s="283"/>
      <c r="B740" s="283"/>
      <c r="C740" s="283"/>
      <c r="D740" s="283"/>
      <c r="E740" s="283"/>
      <c r="F740" s="283"/>
      <c r="G740" s="283"/>
      <c r="H740" s="283"/>
      <c r="I740" s="283"/>
      <c r="J740" s="283"/>
      <c r="K740" s="283"/>
      <c r="L740" s="283"/>
      <c r="M740" s="283"/>
      <c r="N740" s="283"/>
      <c r="O740" s="283"/>
      <c r="P740" s="283"/>
      <c r="Q740" s="283"/>
      <c r="R740" s="283"/>
      <c r="S740" s="283"/>
      <c r="T740" s="283"/>
      <c r="U740" s="283"/>
      <c r="V740" s="283"/>
      <c r="W740" s="283"/>
      <c r="X740" s="283"/>
    </row>
    <row r="741" spans="1:24" ht="13.5" customHeight="1" x14ac:dyDescent="0.2">
      <c r="A741" s="283"/>
      <c r="B741" s="283"/>
      <c r="C741" s="283"/>
      <c r="D741" s="283"/>
      <c r="E741" s="283"/>
      <c r="F741" s="283"/>
      <c r="G741" s="283"/>
      <c r="H741" s="283"/>
      <c r="I741" s="283"/>
      <c r="J741" s="283"/>
      <c r="K741" s="283"/>
      <c r="L741" s="283"/>
      <c r="M741" s="283"/>
      <c r="N741" s="283"/>
      <c r="O741" s="283"/>
      <c r="P741" s="283"/>
      <c r="Q741" s="283"/>
      <c r="R741" s="283"/>
      <c r="S741" s="283"/>
      <c r="T741" s="283"/>
      <c r="U741" s="283"/>
      <c r="V741" s="283"/>
      <c r="W741" s="283"/>
      <c r="X741" s="283"/>
    </row>
    <row r="742" spans="1:24" ht="13.5" customHeight="1" x14ac:dyDescent="0.2">
      <c r="A742" s="283"/>
      <c r="B742" s="283"/>
      <c r="C742" s="283"/>
      <c r="D742" s="283"/>
      <c r="E742" s="283"/>
      <c r="F742" s="283"/>
      <c r="G742" s="283"/>
      <c r="H742" s="283"/>
      <c r="I742" s="283"/>
      <c r="J742" s="283"/>
      <c r="K742" s="283"/>
      <c r="L742" s="283"/>
      <c r="M742" s="283"/>
      <c r="N742" s="283"/>
      <c r="O742" s="283"/>
      <c r="P742" s="283"/>
      <c r="Q742" s="283"/>
      <c r="R742" s="283"/>
      <c r="S742" s="283"/>
      <c r="T742" s="283"/>
      <c r="U742" s="283"/>
      <c r="V742" s="283"/>
      <c r="W742" s="283"/>
      <c r="X742" s="283"/>
    </row>
    <row r="743" spans="1:24" ht="13.5" customHeight="1" x14ac:dyDescent="0.2">
      <c r="A743" s="283"/>
      <c r="B743" s="283"/>
      <c r="C743" s="283"/>
      <c r="D743" s="283"/>
      <c r="E743" s="283"/>
      <c r="F743" s="283"/>
      <c r="G743" s="283"/>
      <c r="H743" s="283"/>
      <c r="I743" s="283"/>
      <c r="J743" s="283"/>
      <c r="K743" s="283"/>
      <c r="L743" s="283"/>
      <c r="M743" s="283"/>
      <c r="N743" s="283"/>
      <c r="O743" s="283"/>
      <c r="P743" s="283"/>
      <c r="Q743" s="283"/>
      <c r="R743" s="283"/>
      <c r="S743" s="283"/>
      <c r="T743" s="283"/>
      <c r="U743" s="283"/>
      <c r="V743" s="283"/>
      <c r="W743" s="283"/>
      <c r="X743" s="283"/>
    </row>
    <row r="744" spans="1:24" ht="13.5" customHeight="1" x14ac:dyDescent="0.2">
      <c r="A744" s="283"/>
      <c r="B744" s="283"/>
      <c r="C744" s="283"/>
      <c r="D744" s="283"/>
      <c r="E744" s="283"/>
      <c r="F744" s="283"/>
      <c r="G744" s="283"/>
      <c r="H744" s="283"/>
      <c r="I744" s="283"/>
      <c r="J744" s="283"/>
      <c r="K744" s="283"/>
      <c r="L744" s="283"/>
      <c r="M744" s="283"/>
      <c r="N744" s="283"/>
      <c r="O744" s="283"/>
      <c r="P744" s="283"/>
      <c r="Q744" s="283"/>
      <c r="R744" s="283"/>
      <c r="S744" s="283"/>
      <c r="T744" s="283"/>
      <c r="U744" s="283"/>
      <c r="V744" s="283"/>
      <c r="W744" s="283"/>
      <c r="X744" s="283"/>
    </row>
    <row r="745" spans="1:24" ht="13.5" customHeight="1" x14ac:dyDescent="0.2">
      <c r="A745" s="283"/>
      <c r="B745" s="283"/>
      <c r="C745" s="283"/>
      <c r="D745" s="283"/>
      <c r="E745" s="283"/>
      <c r="F745" s="283"/>
      <c r="G745" s="283"/>
      <c r="H745" s="283"/>
      <c r="I745" s="283"/>
      <c r="J745" s="283"/>
      <c r="K745" s="283"/>
      <c r="L745" s="283"/>
      <c r="M745" s="283"/>
      <c r="N745" s="283"/>
      <c r="O745" s="283"/>
      <c r="P745" s="283"/>
      <c r="Q745" s="283"/>
      <c r="R745" s="283"/>
      <c r="S745" s="283"/>
      <c r="T745" s="283"/>
      <c r="U745" s="283"/>
      <c r="V745" s="283"/>
      <c r="W745" s="283"/>
      <c r="X745" s="283"/>
    </row>
    <row r="746" spans="1:24" ht="13.5" customHeight="1" x14ac:dyDescent="0.2">
      <c r="A746" s="283"/>
      <c r="B746" s="283"/>
      <c r="C746" s="283"/>
      <c r="D746" s="283"/>
      <c r="E746" s="283"/>
      <c r="F746" s="283"/>
      <c r="G746" s="283"/>
      <c r="H746" s="283"/>
      <c r="I746" s="283"/>
      <c r="J746" s="283"/>
      <c r="K746" s="283"/>
      <c r="L746" s="283"/>
      <c r="M746" s="283"/>
      <c r="N746" s="283"/>
      <c r="O746" s="283"/>
      <c r="P746" s="283"/>
      <c r="Q746" s="283"/>
      <c r="R746" s="283"/>
      <c r="S746" s="283"/>
      <c r="T746" s="283"/>
      <c r="U746" s="283"/>
      <c r="V746" s="283"/>
      <c r="W746" s="283"/>
      <c r="X746" s="283"/>
    </row>
    <row r="747" spans="1:24" ht="13.5" customHeight="1" x14ac:dyDescent="0.2">
      <c r="A747" s="283"/>
      <c r="B747" s="283"/>
      <c r="C747" s="283"/>
      <c r="D747" s="283"/>
      <c r="E747" s="283"/>
      <c r="F747" s="283"/>
      <c r="G747" s="283"/>
      <c r="H747" s="283"/>
      <c r="I747" s="283"/>
      <c r="J747" s="283"/>
      <c r="K747" s="283"/>
      <c r="L747" s="283"/>
      <c r="M747" s="283"/>
      <c r="N747" s="283"/>
      <c r="O747" s="283"/>
      <c r="P747" s="283"/>
      <c r="Q747" s="283"/>
      <c r="R747" s="283"/>
      <c r="S747" s="283"/>
      <c r="T747" s="283"/>
      <c r="U747" s="283"/>
      <c r="V747" s="283"/>
      <c r="W747" s="283"/>
      <c r="X747" s="283"/>
    </row>
    <row r="748" spans="1:24" ht="13.5" customHeight="1" x14ac:dyDescent="0.2">
      <c r="A748" s="283"/>
      <c r="B748" s="283"/>
      <c r="C748" s="283"/>
      <c r="D748" s="283"/>
      <c r="E748" s="283"/>
      <c r="F748" s="283"/>
      <c r="G748" s="283"/>
      <c r="H748" s="283"/>
      <c r="I748" s="283"/>
      <c r="J748" s="283"/>
      <c r="K748" s="283"/>
      <c r="L748" s="283"/>
      <c r="M748" s="283"/>
      <c r="N748" s="283"/>
      <c r="O748" s="283"/>
      <c r="P748" s="283"/>
      <c r="Q748" s="283"/>
      <c r="R748" s="283"/>
      <c r="S748" s="283"/>
      <c r="T748" s="283"/>
      <c r="U748" s="283"/>
      <c r="V748" s="283"/>
      <c r="W748" s="283"/>
      <c r="X748" s="283"/>
    </row>
    <row r="749" spans="1:24" ht="13.5" customHeight="1" x14ac:dyDescent="0.2">
      <c r="A749" s="283"/>
      <c r="B749" s="283"/>
      <c r="C749" s="283"/>
      <c r="D749" s="283"/>
      <c r="E749" s="283"/>
      <c r="F749" s="283"/>
      <c r="G749" s="283"/>
      <c r="H749" s="283"/>
      <c r="I749" s="283"/>
      <c r="J749" s="283"/>
      <c r="K749" s="283"/>
      <c r="L749" s="283"/>
      <c r="M749" s="283"/>
      <c r="N749" s="283"/>
      <c r="O749" s="283"/>
      <c r="P749" s="283"/>
      <c r="Q749" s="283"/>
      <c r="R749" s="283"/>
      <c r="S749" s="283"/>
      <c r="T749" s="283"/>
      <c r="U749" s="283"/>
      <c r="V749" s="283"/>
      <c r="W749" s="283"/>
      <c r="X749" s="283"/>
    </row>
    <row r="750" spans="1:24" ht="13.5" customHeight="1" x14ac:dyDescent="0.2">
      <c r="A750" s="283"/>
      <c r="B750" s="283"/>
      <c r="C750" s="283"/>
      <c r="D750" s="283"/>
      <c r="E750" s="283"/>
      <c r="F750" s="283"/>
      <c r="G750" s="283"/>
      <c r="H750" s="283"/>
      <c r="I750" s="283"/>
      <c r="J750" s="283"/>
      <c r="K750" s="283"/>
      <c r="L750" s="283"/>
      <c r="M750" s="283"/>
      <c r="N750" s="283"/>
      <c r="O750" s="283"/>
      <c r="P750" s="283"/>
      <c r="Q750" s="283"/>
      <c r="R750" s="283"/>
      <c r="S750" s="283"/>
      <c r="T750" s="283"/>
      <c r="U750" s="283"/>
      <c r="V750" s="283"/>
      <c r="W750" s="283"/>
      <c r="X750" s="283"/>
    </row>
    <row r="751" spans="1:24" ht="13.5" customHeight="1" x14ac:dyDescent="0.2">
      <c r="A751" s="283"/>
      <c r="B751" s="283"/>
      <c r="C751" s="283"/>
      <c r="D751" s="283"/>
      <c r="E751" s="283"/>
      <c r="F751" s="283"/>
      <c r="G751" s="283"/>
      <c r="H751" s="283"/>
      <c r="I751" s="283"/>
      <c r="J751" s="283"/>
      <c r="K751" s="283"/>
      <c r="L751" s="283"/>
      <c r="M751" s="283"/>
      <c r="N751" s="283"/>
      <c r="O751" s="283"/>
      <c r="P751" s="283"/>
      <c r="Q751" s="283"/>
      <c r="R751" s="283"/>
      <c r="S751" s="283"/>
      <c r="T751" s="283"/>
      <c r="U751" s="283"/>
      <c r="V751" s="283"/>
      <c r="W751" s="283"/>
      <c r="X751" s="283"/>
    </row>
    <row r="752" spans="1:24" ht="13.5" customHeight="1" x14ac:dyDescent="0.2">
      <c r="A752" s="283"/>
      <c r="B752" s="283"/>
      <c r="C752" s="283"/>
      <c r="D752" s="283"/>
      <c r="E752" s="283"/>
      <c r="F752" s="283"/>
      <c r="G752" s="283"/>
      <c r="H752" s="283"/>
      <c r="I752" s="283"/>
      <c r="J752" s="283"/>
      <c r="K752" s="283"/>
      <c r="L752" s="283"/>
      <c r="M752" s="283"/>
      <c r="N752" s="283"/>
      <c r="O752" s="283"/>
      <c r="P752" s="283"/>
      <c r="Q752" s="283"/>
      <c r="R752" s="283"/>
      <c r="S752" s="283"/>
      <c r="T752" s="283"/>
      <c r="U752" s="283"/>
      <c r="V752" s="283"/>
      <c r="W752" s="283"/>
      <c r="X752" s="283"/>
    </row>
    <row r="753" spans="1:24" ht="13.5" customHeight="1" x14ac:dyDescent="0.2">
      <c r="A753" s="283"/>
      <c r="B753" s="283"/>
      <c r="C753" s="283"/>
      <c r="D753" s="283"/>
      <c r="E753" s="283"/>
      <c r="F753" s="283"/>
      <c r="G753" s="283"/>
      <c r="H753" s="283"/>
      <c r="I753" s="283"/>
      <c r="J753" s="283"/>
      <c r="K753" s="283"/>
      <c r="L753" s="283"/>
      <c r="M753" s="283"/>
      <c r="N753" s="283"/>
      <c r="O753" s="283"/>
      <c r="P753" s="283"/>
      <c r="Q753" s="283"/>
      <c r="R753" s="283"/>
      <c r="S753" s="283"/>
      <c r="T753" s="283"/>
      <c r="U753" s="283"/>
      <c r="V753" s="283"/>
      <c r="W753" s="283"/>
      <c r="X753" s="283"/>
    </row>
    <row r="754" spans="1:24" ht="13.5" customHeight="1" x14ac:dyDescent="0.2">
      <c r="A754" s="283"/>
      <c r="B754" s="283"/>
      <c r="C754" s="283"/>
      <c r="D754" s="283"/>
      <c r="E754" s="283"/>
      <c r="F754" s="283"/>
      <c r="G754" s="283"/>
      <c r="H754" s="283"/>
      <c r="I754" s="283"/>
      <c r="J754" s="283"/>
      <c r="K754" s="283"/>
      <c r="L754" s="283"/>
      <c r="M754" s="283"/>
      <c r="N754" s="283"/>
      <c r="O754" s="283"/>
      <c r="P754" s="283"/>
      <c r="Q754" s="283"/>
      <c r="R754" s="283"/>
      <c r="S754" s="283"/>
      <c r="T754" s="283"/>
      <c r="U754" s="283"/>
      <c r="V754" s="283"/>
      <c r="W754" s="283"/>
      <c r="X754" s="283"/>
    </row>
    <row r="755" spans="1:24" ht="13.5" customHeight="1" x14ac:dyDescent="0.2">
      <c r="A755" s="283"/>
      <c r="B755" s="283"/>
      <c r="C755" s="283"/>
      <c r="D755" s="283"/>
      <c r="E755" s="283"/>
      <c r="F755" s="283"/>
      <c r="G755" s="283"/>
      <c r="H755" s="283"/>
      <c r="I755" s="283"/>
      <c r="J755" s="283"/>
      <c r="K755" s="283"/>
      <c r="L755" s="283"/>
      <c r="M755" s="283"/>
      <c r="N755" s="283"/>
      <c r="O755" s="283"/>
      <c r="P755" s="283"/>
      <c r="Q755" s="283"/>
      <c r="R755" s="283"/>
      <c r="S755" s="283"/>
      <c r="T755" s="283"/>
      <c r="U755" s="283"/>
      <c r="V755" s="283"/>
      <c r="W755" s="283"/>
      <c r="X755" s="283"/>
    </row>
    <row r="756" spans="1:24" ht="13.5" customHeight="1" x14ac:dyDescent="0.2">
      <c r="A756" s="283"/>
      <c r="B756" s="283"/>
      <c r="C756" s="283"/>
      <c r="D756" s="283"/>
      <c r="E756" s="283"/>
      <c r="F756" s="283"/>
      <c r="G756" s="283"/>
      <c r="H756" s="283"/>
      <c r="I756" s="283"/>
      <c r="J756" s="283"/>
      <c r="K756" s="283"/>
      <c r="L756" s="283"/>
      <c r="M756" s="283"/>
      <c r="N756" s="283"/>
      <c r="O756" s="283"/>
      <c r="P756" s="283"/>
      <c r="Q756" s="283"/>
      <c r="R756" s="283"/>
      <c r="S756" s="283"/>
      <c r="T756" s="283"/>
      <c r="U756" s="283"/>
      <c r="V756" s="283"/>
      <c r="W756" s="283"/>
      <c r="X756" s="283"/>
    </row>
    <row r="757" spans="1:24" ht="13.5" customHeight="1" x14ac:dyDescent="0.2">
      <c r="A757" s="283"/>
      <c r="B757" s="283"/>
      <c r="C757" s="283"/>
      <c r="D757" s="283"/>
      <c r="E757" s="283"/>
      <c r="F757" s="283"/>
      <c r="G757" s="283"/>
      <c r="H757" s="283"/>
      <c r="I757" s="283"/>
      <c r="J757" s="283"/>
      <c r="K757" s="283"/>
      <c r="L757" s="283"/>
      <c r="M757" s="283"/>
      <c r="N757" s="283"/>
      <c r="O757" s="283"/>
      <c r="P757" s="283"/>
      <c r="Q757" s="283"/>
      <c r="R757" s="283"/>
      <c r="S757" s="283"/>
      <c r="T757" s="283"/>
      <c r="U757" s="283"/>
      <c r="V757" s="283"/>
      <c r="W757" s="283"/>
      <c r="X757" s="283"/>
    </row>
    <row r="758" spans="1:24" ht="13.5" customHeight="1" x14ac:dyDescent="0.2">
      <c r="A758" s="283"/>
      <c r="B758" s="283"/>
      <c r="C758" s="283"/>
      <c r="D758" s="283"/>
      <c r="E758" s="283"/>
      <c r="F758" s="283"/>
      <c r="G758" s="283"/>
      <c r="H758" s="283"/>
      <c r="I758" s="283"/>
      <c r="J758" s="283"/>
      <c r="K758" s="283"/>
      <c r="L758" s="283"/>
      <c r="M758" s="283"/>
      <c r="N758" s="283"/>
      <c r="O758" s="283"/>
      <c r="P758" s="283"/>
      <c r="Q758" s="283"/>
      <c r="R758" s="283"/>
      <c r="S758" s="283"/>
      <c r="T758" s="283"/>
      <c r="U758" s="283"/>
      <c r="V758" s="283"/>
      <c r="W758" s="283"/>
      <c r="X758" s="283"/>
    </row>
    <row r="759" spans="1:24" ht="13.5" customHeight="1" x14ac:dyDescent="0.2">
      <c r="A759" s="283"/>
      <c r="B759" s="283"/>
      <c r="C759" s="283"/>
      <c r="D759" s="283"/>
      <c r="E759" s="283"/>
      <c r="F759" s="283"/>
      <c r="G759" s="283"/>
      <c r="H759" s="283"/>
      <c r="I759" s="283"/>
      <c r="J759" s="283"/>
      <c r="K759" s="283"/>
      <c r="L759" s="283"/>
      <c r="M759" s="283"/>
      <c r="N759" s="283"/>
      <c r="O759" s="283"/>
      <c r="P759" s="283"/>
      <c r="Q759" s="283"/>
      <c r="R759" s="283"/>
      <c r="S759" s="283"/>
      <c r="T759" s="283"/>
      <c r="U759" s="283"/>
      <c r="V759" s="283"/>
      <c r="W759" s="283"/>
      <c r="X759" s="283"/>
    </row>
    <row r="760" spans="1:24" ht="13.5" customHeight="1" x14ac:dyDescent="0.2">
      <c r="A760" s="283"/>
      <c r="B760" s="283"/>
      <c r="C760" s="283"/>
      <c r="D760" s="283"/>
      <c r="E760" s="283"/>
      <c r="F760" s="283"/>
      <c r="G760" s="283"/>
      <c r="H760" s="283"/>
      <c r="I760" s="283"/>
      <c r="J760" s="283"/>
      <c r="K760" s="283"/>
      <c r="L760" s="283"/>
      <c r="M760" s="283"/>
      <c r="N760" s="283"/>
      <c r="O760" s="283"/>
      <c r="P760" s="283"/>
      <c r="Q760" s="283"/>
      <c r="R760" s="283"/>
      <c r="S760" s="283"/>
      <c r="T760" s="283"/>
      <c r="U760" s="283"/>
      <c r="V760" s="283"/>
      <c r="W760" s="283"/>
      <c r="X760" s="283"/>
    </row>
    <row r="761" spans="1:24" ht="13.5" customHeight="1" x14ac:dyDescent="0.2">
      <c r="A761" s="283"/>
      <c r="B761" s="283"/>
      <c r="C761" s="283"/>
      <c r="D761" s="283"/>
      <c r="E761" s="283"/>
      <c r="F761" s="283"/>
      <c r="G761" s="283"/>
      <c r="H761" s="283"/>
      <c r="I761" s="283"/>
      <c r="J761" s="283"/>
      <c r="K761" s="283"/>
      <c r="L761" s="283"/>
      <c r="M761" s="283"/>
      <c r="N761" s="283"/>
      <c r="O761" s="283"/>
      <c r="P761" s="283"/>
      <c r="Q761" s="283"/>
      <c r="R761" s="283"/>
      <c r="S761" s="283"/>
      <c r="T761" s="283"/>
      <c r="U761" s="283"/>
      <c r="V761" s="283"/>
      <c r="W761" s="283"/>
      <c r="X761" s="283"/>
    </row>
    <row r="762" spans="1:24" ht="13.5" customHeight="1" x14ac:dyDescent="0.2">
      <c r="A762" s="283"/>
      <c r="B762" s="283"/>
      <c r="C762" s="283"/>
      <c r="D762" s="283"/>
      <c r="E762" s="283"/>
      <c r="F762" s="283"/>
      <c r="G762" s="283"/>
      <c r="H762" s="283"/>
      <c r="I762" s="283"/>
      <c r="J762" s="283"/>
      <c r="K762" s="283"/>
      <c r="L762" s="283"/>
      <c r="M762" s="283"/>
      <c r="N762" s="283"/>
      <c r="O762" s="283"/>
      <c r="P762" s="283"/>
      <c r="Q762" s="283"/>
      <c r="R762" s="283"/>
      <c r="S762" s="283"/>
      <c r="T762" s="283"/>
      <c r="U762" s="283"/>
      <c r="V762" s="283"/>
      <c r="W762" s="283"/>
      <c r="X762" s="283"/>
    </row>
    <row r="763" spans="1:24" ht="13.5" customHeight="1" x14ac:dyDescent="0.2">
      <c r="A763" s="283"/>
      <c r="B763" s="283"/>
      <c r="C763" s="283"/>
      <c r="D763" s="283"/>
      <c r="E763" s="283"/>
      <c r="F763" s="283"/>
      <c r="G763" s="283"/>
      <c r="H763" s="283"/>
      <c r="I763" s="283"/>
      <c r="J763" s="283"/>
      <c r="K763" s="283"/>
      <c r="L763" s="283"/>
      <c r="M763" s="283"/>
      <c r="N763" s="283"/>
      <c r="O763" s="283"/>
      <c r="P763" s="283"/>
      <c r="Q763" s="283"/>
      <c r="R763" s="283"/>
      <c r="S763" s="283"/>
      <c r="T763" s="283"/>
      <c r="U763" s="283"/>
      <c r="V763" s="283"/>
      <c r="W763" s="283"/>
      <c r="X763" s="283"/>
    </row>
    <row r="764" spans="1:24" ht="13.5" customHeight="1" x14ac:dyDescent="0.2">
      <c r="A764" s="283"/>
      <c r="B764" s="283"/>
      <c r="C764" s="283"/>
      <c r="D764" s="283"/>
      <c r="E764" s="283"/>
      <c r="F764" s="283"/>
      <c r="G764" s="283"/>
      <c r="H764" s="283"/>
      <c r="I764" s="283"/>
      <c r="J764" s="283"/>
      <c r="K764" s="283"/>
      <c r="L764" s="283"/>
      <c r="M764" s="283"/>
      <c r="N764" s="283"/>
      <c r="O764" s="283"/>
      <c r="P764" s="283"/>
      <c r="Q764" s="283"/>
      <c r="R764" s="283"/>
      <c r="S764" s="283"/>
      <c r="T764" s="283"/>
      <c r="U764" s="283"/>
      <c r="V764" s="283"/>
      <c r="W764" s="283"/>
      <c r="X764" s="283"/>
    </row>
    <row r="765" spans="1:24" ht="13.5" customHeight="1" x14ac:dyDescent="0.2">
      <c r="A765" s="283"/>
      <c r="B765" s="283"/>
      <c r="C765" s="283"/>
      <c r="D765" s="283"/>
      <c r="E765" s="283"/>
      <c r="F765" s="283"/>
      <c r="G765" s="283"/>
      <c r="H765" s="283"/>
      <c r="I765" s="283"/>
      <c r="J765" s="283"/>
      <c r="K765" s="283"/>
      <c r="L765" s="283"/>
      <c r="M765" s="283"/>
      <c r="N765" s="283"/>
      <c r="O765" s="283"/>
      <c r="P765" s="283"/>
      <c r="Q765" s="283"/>
      <c r="R765" s="283"/>
      <c r="S765" s="283"/>
      <c r="T765" s="283"/>
      <c r="U765" s="283"/>
      <c r="V765" s="283"/>
      <c r="W765" s="283"/>
      <c r="X765" s="283"/>
    </row>
    <row r="766" spans="1:24" ht="13.5" customHeight="1" x14ac:dyDescent="0.2">
      <c r="A766" s="283"/>
      <c r="B766" s="283"/>
      <c r="C766" s="283"/>
      <c r="D766" s="283"/>
      <c r="E766" s="283"/>
      <c r="F766" s="283"/>
      <c r="G766" s="283"/>
      <c r="H766" s="283"/>
      <c r="I766" s="283"/>
      <c r="J766" s="283"/>
      <c r="K766" s="283"/>
      <c r="L766" s="283"/>
      <c r="M766" s="283"/>
      <c r="N766" s="283"/>
      <c r="O766" s="283"/>
      <c r="P766" s="283"/>
      <c r="Q766" s="283"/>
      <c r="R766" s="283"/>
      <c r="S766" s="283"/>
      <c r="T766" s="283"/>
      <c r="U766" s="283"/>
      <c r="V766" s="283"/>
      <c r="W766" s="283"/>
      <c r="X766" s="283"/>
    </row>
    <row r="767" spans="1:24" ht="13.5" customHeight="1" x14ac:dyDescent="0.2">
      <c r="A767" s="283"/>
      <c r="B767" s="283"/>
      <c r="C767" s="283"/>
      <c r="D767" s="283"/>
      <c r="E767" s="283"/>
      <c r="F767" s="283"/>
      <c r="G767" s="283"/>
      <c r="H767" s="283"/>
      <c r="I767" s="283"/>
      <c r="J767" s="283"/>
      <c r="K767" s="283"/>
      <c r="L767" s="283"/>
      <c r="M767" s="283"/>
      <c r="N767" s="283"/>
      <c r="O767" s="283"/>
      <c r="P767" s="283"/>
      <c r="Q767" s="283"/>
      <c r="R767" s="283"/>
      <c r="S767" s="283"/>
      <c r="T767" s="283"/>
      <c r="U767" s="283"/>
      <c r="V767" s="283"/>
      <c r="W767" s="283"/>
      <c r="X767" s="283"/>
    </row>
    <row r="768" spans="1:24" ht="13.5" customHeight="1" x14ac:dyDescent="0.2">
      <c r="A768" s="283"/>
      <c r="B768" s="283"/>
      <c r="C768" s="283"/>
      <c r="D768" s="283"/>
      <c r="E768" s="283"/>
      <c r="F768" s="283"/>
      <c r="G768" s="283"/>
      <c r="H768" s="283"/>
      <c r="I768" s="283"/>
      <c r="J768" s="283"/>
      <c r="K768" s="283"/>
      <c r="L768" s="283"/>
      <c r="M768" s="283"/>
      <c r="N768" s="283"/>
      <c r="O768" s="283"/>
      <c r="P768" s="283"/>
      <c r="Q768" s="283"/>
      <c r="R768" s="283"/>
      <c r="S768" s="283"/>
      <c r="T768" s="283"/>
      <c r="U768" s="283"/>
      <c r="V768" s="283"/>
      <c r="W768" s="283"/>
      <c r="X768" s="283"/>
    </row>
    <row r="769" spans="1:24" ht="13.5" customHeight="1" x14ac:dyDescent="0.2">
      <c r="A769" s="283"/>
      <c r="B769" s="283"/>
      <c r="C769" s="283"/>
      <c r="D769" s="283"/>
      <c r="E769" s="283"/>
      <c r="F769" s="283"/>
      <c r="G769" s="283"/>
      <c r="H769" s="283"/>
      <c r="I769" s="283"/>
      <c r="J769" s="283"/>
      <c r="K769" s="283"/>
      <c r="L769" s="283"/>
      <c r="M769" s="283"/>
      <c r="N769" s="283"/>
      <c r="O769" s="283"/>
      <c r="P769" s="283"/>
      <c r="Q769" s="283"/>
      <c r="R769" s="283"/>
      <c r="S769" s="283"/>
      <c r="T769" s="283"/>
      <c r="U769" s="283"/>
      <c r="V769" s="283"/>
      <c r="W769" s="283"/>
      <c r="X769" s="283"/>
    </row>
    <row r="770" spans="1:24" ht="13.5" customHeight="1" x14ac:dyDescent="0.2">
      <c r="A770" s="283"/>
      <c r="B770" s="283"/>
      <c r="C770" s="283"/>
      <c r="D770" s="283"/>
      <c r="E770" s="283"/>
      <c r="F770" s="283"/>
      <c r="G770" s="283"/>
      <c r="H770" s="283"/>
      <c r="I770" s="283"/>
      <c r="J770" s="283"/>
      <c r="K770" s="283"/>
      <c r="L770" s="283"/>
      <c r="M770" s="283"/>
      <c r="N770" s="283"/>
      <c r="O770" s="283"/>
      <c r="P770" s="283"/>
      <c r="Q770" s="283"/>
      <c r="R770" s="283"/>
      <c r="S770" s="283"/>
      <c r="T770" s="283"/>
      <c r="U770" s="283"/>
      <c r="V770" s="283"/>
      <c r="W770" s="283"/>
      <c r="X770" s="283"/>
    </row>
    <row r="771" spans="1:24" ht="13.5" customHeight="1" x14ac:dyDescent="0.2">
      <c r="A771" s="283"/>
      <c r="B771" s="283"/>
      <c r="C771" s="283"/>
      <c r="D771" s="283"/>
      <c r="E771" s="283"/>
      <c r="F771" s="283"/>
      <c r="G771" s="283"/>
      <c r="H771" s="283"/>
      <c r="I771" s="283"/>
      <c r="J771" s="283"/>
      <c r="K771" s="283"/>
      <c r="L771" s="283"/>
      <c r="M771" s="283"/>
      <c r="N771" s="283"/>
      <c r="O771" s="283"/>
      <c r="P771" s="283"/>
      <c r="Q771" s="283"/>
      <c r="R771" s="283"/>
      <c r="S771" s="283"/>
      <c r="T771" s="283"/>
      <c r="U771" s="283"/>
      <c r="V771" s="283"/>
      <c r="W771" s="283"/>
      <c r="X771" s="283"/>
    </row>
    <row r="772" spans="1:24" ht="13.5" customHeight="1" x14ac:dyDescent="0.2">
      <c r="A772" s="283"/>
      <c r="B772" s="283"/>
      <c r="C772" s="283"/>
      <c r="D772" s="283"/>
      <c r="E772" s="283"/>
      <c r="F772" s="283"/>
      <c r="G772" s="283"/>
      <c r="H772" s="283"/>
      <c r="I772" s="283"/>
      <c r="J772" s="283"/>
      <c r="K772" s="283"/>
      <c r="L772" s="283"/>
      <c r="M772" s="283"/>
      <c r="N772" s="283"/>
      <c r="O772" s="283"/>
      <c r="P772" s="283"/>
      <c r="Q772" s="283"/>
      <c r="R772" s="283"/>
      <c r="S772" s="283"/>
      <c r="T772" s="283"/>
      <c r="U772" s="283"/>
      <c r="V772" s="283"/>
      <c r="W772" s="283"/>
      <c r="X772" s="283"/>
    </row>
    <row r="773" spans="1:24" ht="13.5" customHeight="1" x14ac:dyDescent="0.2">
      <c r="A773" s="283"/>
      <c r="B773" s="283"/>
      <c r="C773" s="283"/>
      <c r="D773" s="283"/>
      <c r="E773" s="283"/>
      <c r="F773" s="283"/>
      <c r="G773" s="283"/>
      <c r="H773" s="283"/>
      <c r="I773" s="283"/>
      <c r="J773" s="283"/>
      <c r="K773" s="283"/>
      <c r="L773" s="283"/>
      <c r="M773" s="283"/>
      <c r="N773" s="283"/>
      <c r="O773" s="283"/>
      <c r="P773" s="283"/>
      <c r="Q773" s="283"/>
      <c r="R773" s="283"/>
      <c r="S773" s="283"/>
      <c r="T773" s="283"/>
      <c r="U773" s="283"/>
      <c r="V773" s="283"/>
      <c r="W773" s="283"/>
      <c r="X773" s="283"/>
    </row>
    <row r="774" spans="1:24" ht="13.5" customHeight="1" x14ac:dyDescent="0.2">
      <c r="A774" s="283"/>
      <c r="B774" s="283"/>
      <c r="C774" s="283"/>
      <c r="D774" s="283"/>
      <c r="E774" s="283"/>
      <c r="F774" s="283"/>
      <c r="G774" s="283"/>
      <c r="H774" s="283"/>
      <c r="I774" s="283"/>
      <c r="J774" s="283"/>
      <c r="K774" s="283"/>
      <c r="L774" s="283"/>
      <c r="M774" s="283"/>
      <c r="N774" s="283"/>
      <c r="O774" s="283"/>
      <c r="P774" s="283"/>
      <c r="Q774" s="283"/>
      <c r="R774" s="283"/>
      <c r="S774" s="283"/>
      <c r="T774" s="283"/>
      <c r="U774" s="283"/>
      <c r="V774" s="283"/>
      <c r="W774" s="283"/>
      <c r="X774" s="283"/>
    </row>
    <row r="775" spans="1:24" ht="13.5" customHeight="1" x14ac:dyDescent="0.2">
      <c r="A775" s="283"/>
      <c r="B775" s="283"/>
      <c r="C775" s="283"/>
      <c r="D775" s="283"/>
      <c r="E775" s="283"/>
      <c r="F775" s="283"/>
      <c r="G775" s="283"/>
      <c r="H775" s="283"/>
      <c r="I775" s="283"/>
      <c r="J775" s="283"/>
      <c r="K775" s="283"/>
      <c r="L775" s="283"/>
      <c r="M775" s="283"/>
      <c r="N775" s="283"/>
      <c r="O775" s="283"/>
      <c r="P775" s="283"/>
      <c r="Q775" s="283"/>
      <c r="R775" s="283"/>
      <c r="S775" s="283"/>
      <c r="T775" s="283"/>
      <c r="U775" s="283"/>
      <c r="V775" s="283"/>
      <c r="W775" s="283"/>
      <c r="X775" s="283"/>
    </row>
    <row r="776" spans="1:24" ht="13.5" customHeight="1" x14ac:dyDescent="0.2">
      <c r="A776" s="283"/>
      <c r="B776" s="283"/>
      <c r="C776" s="283"/>
      <c r="D776" s="283"/>
      <c r="E776" s="283"/>
      <c r="F776" s="283"/>
      <c r="G776" s="283"/>
      <c r="H776" s="283"/>
      <c r="I776" s="283"/>
      <c r="J776" s="283"/>
      <c r="K776" s="283"/>
      <c r="L776" s="283"/>
      <c r="M776" s="283"/>
      <c r="N776" s="283"/>
      <c r="O776" s="283"/>
      <c r="P776" s="283"/>
      <c r="Q776" s="283"/>
      <c r="R776" s="283"/>
      <c r="S776" s="283"/>
      <c r="T776" s="283"/>
      <c r="U776" s="283"/>
      <c r="V776" s="283"/>
      <c r="W776" s="283"/>
      <c r="X776" s="283"/>
    </row>
    <row r="777" spans="1:24" ht="13.5" customHeight="1" x14ac:dyDescent="0.2">
      <c r="A777" s="283"/>
      <c r="B777" s="283"/>
      <c r="C777" s="283"/>
      <c r="D777" s="283"/>
      <c r="E777" s="283"/>
      <c r="F777" s="283"/>
      <c r="G777" s="283"/>
      <c r="H777" s="283"/>
      <c r="I777" s="283"/>
      <c r="J777" s="283"/>
      <c r="K777" s="283"/>
      <c r="L777" s="283"/>
      <c r="M777" s="283"/>
      <c r="N777" s="283"/>
      <c r="O777" s="283"/>
      <c r="P777" s="283"/>
      <c r="Q777" s="283"/>
      <c r="R777" s="283"/>
      <c r="S777" s="283"/>
      <c r="T777" s="283"/>
      <c r="U777" s="283"/>
      <c r="V777" s="283"/>
      <c r="W777" s="283"/>
      <c r="X777" s="283"/>
    </row>
    <row r="778" spans="1:24" ht="13.5" customHeight="1" x14ac:dyDescent="0.2">
      <c r="A778" s="283"/>
      <c r="B778" s="283"/>
      <c r="C778" s="283"/>
      <c r="D778" s="283"/>
      <c r="E778" s="283"/>
      <c r="F778" s="283"/>
      <c r="G778" s="283"/>
      <c r="H778" s="283"/>
      <c r="I778" s="283"/>
      <c r="J778" s="283"/>
      <c r="K778" s="283"/>
      <c r="L778" s="283"/>
      <c r="M778" s="283"/>
      <c r="N778" s="283"/>
      <c r="O778" s="283"/>
      <c r="P778" s="283"/>
      <c r="Q778" s="283"/>
      <c r="R778" s="283"/>
      <c r="S778" s="283"/>
      <c r="T778" s="283"/>
      <c r="U778" s="283"/>
      <c r="V778" s="283"/>
      <c r="W778" s="283"/>
      <c r="X778" s="283"/>
    </row>
    <row r="779" spans="1:24" ht="13.5" customHeight="1" x14ac:dyDescent="0.2">
      <c r="A779" s="283"/>
      <c r="B779" s="283"/>
      <c r="C779" s="283"/>
      <c r="D779" s="283"/>
      <c r="E779" s="283"/>
      <c r="F779" s="283"/>
      <c r="G779" s="283"/>
      <c r="H779" s="283"/>
      <c r="I779" s="283"/>
      <c r="J779" s="283"/>
      <c r="K779" s="283"/>
      <c r="L779" s="283"/>
      <c r="M779" s="283"/>
      <c r="N779" s="283"/>
      <c r="O779" s="283"/>
      <c r="P779" s="283"/>
      <c r="Q779" s="283"/>
      <c r="R779" s="283"/>
      <c r="S779" s="283"/>
      <c r="T779" s="283"/>
      <c r="U779" s="283"/>
      <c r="V779" s="283"/>
      <c r="W779" s="283"/>
      <c r="X779" s="283"/>
    </row>
    <row r="780" spans="1:24" ht="13.5" customHeight="1" x14ac:dyDescent="0.2">
      <c r="A780" s="283"/>
      <c r="B780" s="283"/>
      <c r="C780" s="283"/>
      <c r="D780" s="283"/>
      <c r="E780" s="283"/>
      <c r="F780" s="283"/>
      <c r="G780" s="283"/>
      <c r="H780" s="283"/>
      <c r="I780" s="283"/>
      <c r="J780" s="283"/>
      <c r="K780" s="283"/>
      <c r="L780" s="283"/>
      <c r="M780" s="283"/>
      <c r="N780" s="283"/>
      <c r="O780" s="283"/>
      <c r="P780" s="283"/>
      <c r="Q780" s="283"/>
      <c r="R780" s="283"/>
      <c r="S780" s="283"/>
      <c r="T780" s="283"/>
      <c r="U780" s="283"/>
      <c r="V780" s="283"/>
      <c r="W780" s="283"/>
      <c r="X780" s="283"/>
    </row>
    <row r="781" spans="1:24" ht="13.5" customHeight="1" x14ac:dyDescent="0.2">
      <c r="A781" s="283"/>
      <c r="B781" s="283"/>
      <c r="C781" s="283"/>
      <c r="D781" s="283"/>
      <c r="E781" s="283"/>
      <c r="F781" s="283"/>
      <c r="G781" s="283"/>
      <c r="H781" s="283"/>
      <c r="I781" s="283"/>
      <c r="J781" s="283"/>
      <c r="K781" s="283"/>
      <c r="L781" s="283"/>
      <c r="M781" s="283"/>
      <c r="N781" s="283"/>
      <c r="O781" s="283"/>
      <c r="P781" s="283"/>
      <c r="Q781" s="283"/>
      <c r="R781" s="283"/>
      <c r="S781" s="283"/>
      <c r="T781" s="283"/>
      <c r="U781" s="283"/>
      <c r="V781" s="283"/>
      <c r="W781" s="283"/>
      <c r="X781" s="283"/>
    </row>
    <row r="782" spans="1:24" ht="13.5" customHeight="1" x14ac:dyDescent="0.2">
      <c r="A782" s="283"/>
      <c r="B782" s="283"/>
      <c r="C782" s="283"/>
      <c r="D782" s="283"/>
      <c r="E782" s="283"/>
      <c r="F782" s="283"/>
      <c r="G782" s="283"/>
      <c r="H782" s="283"/>
      <c r="I782" s="283"/>
      <c r="J782" s="283"/>
      <c r="K782" s="283"/>
      <c r="L782" s="283"/>
      <c r="M782" s="283"/>
      <c r="N782" s="283"/>
      <c r="O782" s="283"/>
      <c r="P782" s="283"/>
      <c r="Q782" s="283"/>
      <c r="R782" s="283"/>
      <c r="S782" s="283"/>
      <c r="T782" s="283"/>
      <c r="U782" s="283"/>
      <c r="V782" s="283"/>
      <c r="W782" s="283"/>
      <c r="X782" s="283"/>
    </row>
    <row r="783" spans="1:24" ht="13.5" customHeight="1" x14ac:dyDescent="0.2">
      <c r="A783" s="283"/>
      <c r="B783" s="283"/>
      <c r="C783" s="283"/>
      <c r="D783" s="283"/>
      <c r="E783" s="283"/>
      <c r="F783" s="283"/>
      <c r="G783" s="283"/>
      <c r="H783" s="283"/>
      <c r="I783" s="283"/>
      <c r="J783" s="283"/>
      <c r="K783" s="283"/>
      <c r="L783" s="283"/>
      <c r="M783" s="283"/>
      <c r="N783" s="283"/>
      <c r="O783" s="283"/>
      <c r="P783" s="283"/>
      <c r="Q783" s="283"/>
      <c r="R783" s="283"/>
      <c r="S783" s="283"/>
      <c r="T783" s="283"/>
      <c r="U783" s="283"/>
      <c r="V783" s="283"/>
      <c r="W783" s="283"/>
      <c r="X783" s="283"/>
    </row>
    <row r="784" spans="1:24" ht="13.5" customHeight="1" x14ac:dyDescent="0.2">
      <c r="A784" s="283"/>
      <c r="B784" s="283"/>
      <c r="C784" s="283"/>
      <c r="D784" s="283"/>
      <c r="E784" s="283"/>
      <c r="F784" s="283"/>
      <c r="G784" s="283"/>
      <c r="H784" s="283"/>
      <c r="I784" s="283"/>
      <c r="J784" s="283"/>
      <c r="K784" s="283"/>
      <c r="L784" s="283"/>
      <c r="M784" s="283"/>
      <c r="N784" s="283"/>
      <c r="O784" s="283"/>
      <c r="P784" s="283"/>
      <c r="Q784" s="283"/>
      <c r="R784" s="283"/>
      <c r="S784" s="283"/>
      <c r="T784" s="283"/>
      <c r="U784" s="283"/>
      <c r="V784" s="283"/>
      <c r="W784" s="283"/>
      <c r="X784" s="283"/>
    </row>
    <row r="785" spans="1:24" ht="13.5" customHeight="1" x14ac:dyDescent="0.2">
      <c r="A785" s="283"/>
      <c r="B785" s="283"/>
      <c r="C785" s="283"/>
      <c r="D785" s="283"/>
      <c r="E785" s="283"/>
      <c r="F785" s="283"/>
      <c r="G785" s="283"/>
      <c r="H785" s="283"/>
      <c r="I785" s="283"/>
      <c r="J785" s="283"/>
      <c r="K785" s="283"/>
      <c r="L785" s="283"/>
      <c r="M785" s="283"/>
      <c r="N785" s="283"/>
      <c r="O785" s="283"/>
      <c r="P785" s="283"/>
      <c r="Q785" s="283"/>
      <c r="R785" s="283"/>
      <c r="S785" s="283"/>
      <c r="T785" s="283"/>
      <c r="U785" s="283"/>
      <c r="V785" s="283"/>
      <c r="W785" s="283"/>
      <c r="X785" s="283"/>
    </row>
    <row r="786" spans="1:24" ht="13.5" customHeight="1" x14ac:dyDescent="0.2">
      <c r="A786" s="283"/>
      <c r="B786" s="283"/>
      <c r="C786" s="283"/>
      <c r="D786" s="283"/>
      <c r="E786" s="283"/>
      <c r="F786" s="283"/>
      <c r="G786" s="283"/>
      <c r="H786" s="283"/>
      <c r="I786" s="283"/>
      <c r="J786" s="283"/>
      <c r="K786" s="283"/>
      <c r="L786" s="283"/>
      <c r="M786" s="283"/>
      <c r="N786" s="283"/>
      <c r="O786" s="283"/>
      <c r="P786" s="283"/>
      <c r="Q786" s="283"/>
      <c r="R786" s="283"/>
      <c r="S786" s="283"/>
      <c r="T786" s="283"/>
      <c r="U786" s="283"/>
      <c r="V786" s="283"/>
      <c r="W786" s="283"/>
      <c r="X786" s="283"/>
    </row>
    <row r="787" spans="1:24" ht="13.5" customHeight="1" x14ac:dyDescent="0.2">
      <c r="A787" s="283"/>
      <c r="B787" s="283"/>
      <c r="C787" s="283"/>
      <c r="D787" s="283"/>
      <c r="E787" s="283"/>
      <c r="F787" s="283"/>
      <c r="G787" s="283"/>
      <c r="H787" s="283"/>
      <c r="I787" s="283"/>
      <c r="J787" s="283"/>
      <c r="K787" s="283"/>
      <c r="L787" s="283"/>
      <c r="M787" s="283"/>
      <c r="N787" s="283"/>
      <c r="O787" s="283"/>
      <c r="P787" s="283"/>
      <c r="Q787" s="283"/>
      <c r="R787" s="283"/>
      <c r="S787" s="283"/>
      <c r="T787" s="283"/>
      <c r="U787" s="283"/>
      <c r="V787" s="283"/>
      <c r="W787" s="283"/>
      <c r="X787" s="283"/>
    </row>
    <row r="788" spans="1:24" ht="13.5" customHeight="1" x14ac:dyDescent="0.2">
      <c r="A788" s="283"/>
      <c r="B788" s="283"/>
      <c r="C788" s="283"/>
      <c r="D788" s="283"/>
      <c r="E788" s="283"/>
      <c r="F788" s="283"/>
      <c r="G788" s="283"/>
      <c r="H788" s="283"/>
      <c r="I788" s="283"/>
      <c r="J788" s="283"/>
      <c r="K788" s="283"/>
      <c r="L788" s="283"/>
      <c r="M788" s="283"/>
      <c r="N788" s="283"/>
      <c r="O788" s="283"/>
      <c r="P788" s="283"/>
      <c r="Q788" s="283"/>
      <c r="R788" s="283"/>
      <c r="S788" s="283"/>
      <c r="T788" s="283"/>
      <c r="U788" s="283"/>
      <c r="V788" s="283"/>
      <c r="W788" s="283"/>
      <c r="X788" s="283"/>
    </row>
    <row r="789" spans="1:24" ht="13.5" customHeight="1" x14ac:dyDescent="0.2">
      <c r="A789" s="283"/>
      <c r="B789" s="283"/>
      <c r="C789" s="283"/>
      <c r="D789" s="283"/>
      <c r="E789" s="283"/>
      <c r="F789" s="283"/>
      <c r="G789" s="283"/>
      <c r="H789" s="283"/>
      <c r="I789" s="283"/>
      <c r="J789" s="283"/>
      <c r="K789" s="283"/>
      <c r="L789" s="283"/>
      <c r="M789" s="283"/>
      <c r="N789" s="283"/>
      <c r="O789" s="283"/>
      <c r="P789" s="283"/>
      <c r="Q789" s="283"/>
      <c r="R789" s="283"/>
      <c r="S789" s="283"/>
      <c r="T789" s="283"/>
      <c r="U789" s="283"/>
      <c r="V789" s="283"/>
      <c r="W789" s="283"/>
      <c r="X789" s="283"/>
    </row>
    <row r="790" spans="1:24" ht="13.5" customHeight="1" x14ac:dyDescent="0.2">
      <c r="A790" s="283"/>
      <c r="B790" s="283"/>
      <c r="C790" s="283"/>
      <c r="D790" s="283"/>
      <c r="E790" s="283"/>
      <c r="F790" s="283"/>
      <c r="G790" s="283"/>
      <c r="H790" s="283"/>
      <c r="I790" s="283"/>
      <c r="J790" s="283"/>
      <c r="K790" s="283"/>
      <c r="L790" s="283"/>
      <c r="M790" s="283"/>
      <c r="N790" s="283"/>
      <c r="O790" s="283"/>
      <c r="P790" s="283"/>
      <c r="Q790" s="283"/>
      <c r="R790" s="283"/>
      <c r="S790" s="283"/>
      <c r="T790" s="283"/>
      <c r="U790" s="283"/>
      <c r="V790" s="283"/>
      <c r="W790" s="283"/>
      <c r="X790" s="283"/>
    </row>
    <row r="791" spans="1:24" ht="13.5" customHeight="1" x14ac:dyDescent="0.2">
      <c r="A791" s="283"/>
      <c r="B791" s="283"/>
      <c r="C791" s="283"/>
      <c r="D791" s="283"/>
      <c r="E791" s="283"/>
      <c r="F791" s="283"/>
      <c r="G791" s="283"/>
      <c r="H791" s="283"/>
      <c r="I791" s="283"/>
      <c r="J791" s="283"/>
      <c r="K791" s="283"/>
      <c r="L791" s="283"/>
      <c r="M791" s="283"/>
      <c r="N791" s="283"/>
      <c r="O791" s="283"/>
      <c r="P791" s="283"/>
      <c r="Q791" s="283"/>
      <c r="R791" s="283"/>
      <c r="S791" s="283"/>
      <c r="T791" s="283"/>
      <c r="U791" s="283"/>
      <c r="V791" s="283"/>
      <c r="W791" s="283"/>
      <c r="X791" s="283"/>
    </row>
    <row r="792" spans="1:24" ht="13.5" customHeight="1" x14ac:dyDescent="0.2">
      <c r="A792" s="283"/>
      <c r="B792" s="283"/>
      <c r="C792" s="283"/>
      <c r="D792" s="283"/>
      <c r="E792" s="283"/>
      <c r="F792" s="283"/>
      <c r="G792" s="283"/>
      <c r="H792" s="283"/>
      <c r="I792" s="283"/>
      <c r="J792" s="283"/>
      <c r="K792" s="283"/>
      <c r="L792" s="283"/>
      <c r="M792" s="283"/>
      <c r="N792" s="283"/>
      <c r="O792" s="283"/>
      <c r="P792" s="283"/>
      <c r="Q792" s="283"/>
      <c r="R792" s="283"/>
      <c r="S792" s="283"/>
      <c r="T792" s="283"/>
      <c r="U792" s="283"/>
      <c r="V792" s="283"/>
      <c r="W792" s="283"/>
      <c r="X792" s="283"/>
    </row>
    <row r="793" spans="1:24" ht="13.5" customHeight="1" x14ac:dyDescent="0.2">
      <c r="A793" s="283"/>
      <c r="B793" s="283"/>
      <c r="C793" s="283"/>
      <c r="D793" s="283"/>
      <c r="E793" s="283"/>
      <c r="F793" s="283"/>
      <c r="G793" s="283"/>
      <c r="H793" s="283"/>
      <c r="I793" s="283"/>
      <c r="J793" s="283"/>
      <c r="K793" s="283"/>
      <c r="L793" s="283"/>
      <c r="M793" s="283"/>
      <c r="N793" s="283"/>
      <c r="O793" s="283"/>
      <c r="P793" s="283"/>
      <c r="Q793" s="283"/>
      <c r="R793" s="283"/>
      <c r="S793" s="283"/>
      <c r="T793" s="283"/>
      <c r="U793" s="283"/>
      <c r="V793" s="283"/>
      <c r="W793" s="283"/>
      <c r="X793" s="283"/>
    </row>
    <row r="794" spans="1:24" ht="13.5" customHeight="1" x14ac:dyDescent="0.2">
      <c r="A794" s="283"/>
      <c r="B794" s="283"/>
      <c r="C794" s="283"/>
      <c r="D794" s="283"/>
      <c r="E794" s="283"/>
      <c r="F794" s="283"/>
      <c r="G794" s="283"/>
      <c r="H794" s="283"/>
      <c r="I794" s="283"/>
      <c r="J794" s="283"/>
      <c r="K794" s="283"/>
      <c r="L794" s="283"/>
      <c r="M794" s="283"/>
      <c r="N794" s="283"/>
      <c r="O794" s="283"/>
      <c r="P794" s="283"/>
      <c r="Q794" s="283"/>
      <c r="R794" s="283"/>
      <c r="S794" s="283"/>
      <c r="T794" s="283"/>
      <c r="U794" s="283"/>
      <c r="V794" s="283"/>
      <c r="W794" s="283"/>
      <c r="X794" s="283"/>
    </row>
    <row r="795" spans="1:24" ht="13.5" customHeight="1" x14ac:dyDescent="0.2">
      <c r="A795" s="283"/>
      <c r="B795" s="283"/>
      <c r="C795" s="283"/>
      <c r="D795" s="283"/>
      <c r="E795" s="283"/>
      <c r="F795" s="283"/>
      <c r="G795" s="283"/>
      <c r="H795" s="283"/>
      <c r="I795" s="283"/>
      <c r="J795" s="283"/>
      <c r="K795" s="283"/>
      <c r="L795" s="283"/>
      <c r="M795" s="283"/>
      <c r="N795" s="283"/>
      <c r="O795" s="283"/>
      <c r="P795" s="283"/>
      <c r="Q795" s="283"/>
      <c r="R795" s="283"/>
      <c r="S795" s="283"/>
      <c r="T795" s="283"/>
      <c r="U795" s="283"/>
      <c r="V795" s="283"/>
      <c r="W795" s="283"/>
      <c r="X795" s="283"/>
    </row>
    <row r="796" spans="1:24" ht="13.5" customHeight="1" x14ac:dyDescent="0.2">
      <c r="A796" s="283"/>
      <c r="B796" s="283"/>
      <c r="C796" s="283"/>
      <c r="D796" s="283"/>
      <c r="E796" s="283"/>
      <c r="F796" s="283"/>
      <c r="G796" s="283"/>
      <c r="H796" s="283"/>
      <c r="I796" s="283"/>
      <c r="J796" s="283"/>
      <c r="K796" s="283"/>
      <c r="L796" s="283"/>
      <c r="M796" s="283"/>
      <c r="N796" s="283"/>
      <c r="O796" s="283"/>
      <c r="P796" s="283"/>
      <c r="Q796" s="283"/>
      <c r="R796" s="283"/>
      <c r="S796" s="283"/>
      <c r="T796" s="283"/>
      <c r="U796" s="283"/>
      <c r="V796" s="283"/>
      <c r="W796" s="283"/>
      <c r="X796" s="283"/>
    </row>
    <row r="797" spans="1:24" ht="13.5" customHeight="1" x14ac:dyDescent="0.2">
      <c r="A797" s="283"/>
      <c r="B797" s="283"/>
      <c r="C797" s="283"/>
      <c r="D797" s="283"/>
      <c r="E797" s="283"/>
      <c r="F797" s="283"/>
      <c r="G797" s="283"/>
      <c r="H797" s="283"/>
      <c r="I797" s="283"/>
      <c r="J797" s="283"/>
      <c r="K797" s="283"/>
      <c r="L797" s="283"/>
      <c r="M797" s="283"/>
      <c r="N797" s="283"/>
      <c r="O797" s="283"/>
      <c r="P797" s="283"/>
      <c r="Q797" s="283"/>
      <c r="R797" s="283"/>
      <c r="S797" s="283"/>
      <c r="T797" s="283"/>
      <c r="U797" s="283"/>
      <c r="V797" s="283"/>
      <c r="W797" s="283"/>
      <c r="X797" s="283"/>
    </row>
    <row r="798" spans="1:24" ht="13.5" customHeight="1" x14ac:dyDescent="0.2">
      <c r="A798" s="283"/>
      <c r="B798" s="283"/>
      <c r="C798" s="283"/>
      <c r="D798" s="283"/>
      <c r="E798" s="283"/>
      <c r="F798" s="283"/>
      <c r="G798" s="283"/>
      <c r="H798" s="283"/>
      <c r="I798" s="283"/>
      <c r="J798" s="283"/>
      <c r="K798" s="283"/>
      <c r="L798" s="283"/>
      <c r="M798" s="283"/>
      <c r="N798" s="283"/>
      <c r="O798" s="283"/>
      <c r="P798" s="283"/>
      <c r="Q798" s="283"/>
      <c r="R798" s="283"/>
      <c r="S798" s="283"/>
      <c r="T798" s="283"/>
      <c r="U798" s="283"/>
      <c r="V798" s="283"/>
      <c r="W798" s="283"/>
      <c r="X798" s="283"/>
    </row>
    <row r="799" spans="1:24" ht="13.5" customHeight="1" x14ac:dyDescent="0.2">
      <c r="A799" s="283"/>
      <c r="B799" s="283"/>
      <c r="C799" s="283"/>
      <c r="D799" s="283"/>
      <c r="E799" s="283"/>
      <c r="F799" s="283"/>
      <c r="G799" s="283"/>
      <c r="H799" s="283"/>
      <c r="I799" s="283"/>
      <c r="J799" s="283"/>
      <c r="K799" s="283"/>
      <c r="L799" s="283"/>
      <c r="M799" s="283"/>
      <c r="N799" s="283"/>
      <c r="O799" s="283"/>
      <c r="P799" s="283"/>
      <c r="Q799" s="283"/>
      <c r="R799" s="283"/>
      <c r="S799" s="283"/>
      <c r="T799" s="283"/>
      <c r="U799" s="283"/>
      <c r="V799" s="283"/>
      <c r="W799" s="283"/>
      <c r="X799" s="283"/>
    </row>
    <row r="800" spans="1:24" ht="13.5" customHeight="1" x14ac:dyDescent="0.2">
      <c r="A800" s="283"/>
      <c r="B800" s="283"/>
      <c r="C800" s="283"/>
      <c r="D800" s="283"/>
      <c r="E800" s="283"/>
      <c r="F800" s="283"/>
      <c r="G800" s="283"/>
      <c r="H800" s="283"/>
      <c r="I800" s="283"/>
      <c r="J800" s="283"/>
      <c r="K800" s="283"/>
      <c r="L800" s="283"/>
      <c r="M800" s="283"/>
      <c r="N800" s="283"/>
      <c r="O800" s="283"/>
      <c r="P800" s="283"/>
      <c r="Q800" s="283"/>
      <c r="R800" s="283"/>
      <c r="S800" s="283"/>
      <c r="T800" s="283"/>
      <c r="U800" s="283"/>
      <c r="V800" s="283"/>
      <c r="W800" s="283"/>
      <c r="X800" s="283"/>
    </row>
    <row r="801" spans="1:24" ht="13.5" customHeight="1" x14ac:dyDescent="0.2">
      <c r="A801" s="283"/>
      <c r="B801" s="283"/>
      <c r="C801" s="283"/>
      <c r="D801" s="283"/>
      <c r="E801" s="283"/>
      <c r="F801" s="283"/>
      <c r="G801" s="283"/>
      <c r="H801" s="283"/>
      <c r="I801" s="283"/>
      <c r="J801" s="283"/>
      <c r="K801" s="283"/>
      <c r="L801" s="283"/>
      <c r="M801" s="283"/>
      <c r="N801" s="283"/>
      <c r="O801" s="283"/>
      <c r="P801" s="283"/>
      <c r="Q801" s="283"/>
      <c r="R801" s="283"/>
      <c r="S801" s="283"/>
      <c r="T801" s="283"/>
      <c r="U801" s="283"/>
      <c r="V801" s="283"/>
      <c r="W801" s="283"/>
      <c r="X801" s="283"/>
    </row>
    <row r="802" spans="1:24" ht="13.5" customHeight="1" x14ac:dyDescent="0.2">
      <c r="A802" s="283"/>
      <c r="B802" s="283"/>
      <c r="C802" s="283"/>
      <c r="D802" s="283"/>
      <c r="E802" s="283"/>
      <c r="F802" s="283"/>
      <c r="G802" s="283"/>
      <c r="H802" s="283"/>
      <c r="I802" s="283"/>
      <c r="J802" s="283"/>
      <c r="K802" s="283"/>
      <c r="L802" s="283"/>
      <c r="M802" s="283"/>
      <c r="N802" s="283"/>
      <c r="O802" s="283"/>
      <c r="P802" s="283"/>
      <c r="Q802" s="283"/>
      <c r="R802" s="283"/>
      <c r="S802" s="283"/>
      <c r="T802" s="283"/>
      <c r="U802" s="283"/>
      <c r="V802" s="283"/>
      <c r="W802" s="283"/>
      <c r="X802" s="283"/>
    </row>
    <row r="803" spans="1:24" ht="13.5" customHeight="1" x14ac:dyDescent="0.2">
      <c r="A803" s="283"/>
      <c r="B803" s="283"/>
      <c r="C803" s="283"/>
      <c r="D803" s="283"/>
      <c r="E803" s="283"/>
      <c r="F803" s="283"/>
      <c r="G803" s="283"/>
      <c r="H803" s="283"/>
      <c r="I803" s="283"/>
      <c r="J803" s="283"/>
      <c r="K803" s="283"/>
      <c r="L803" s="283"/>
      <c r="M803" s="283"/>
      <c r="N803" s="283"/>
      <c r="O803" s="283"/>
      <c r="P803" s="283"/>
      <c r="Q803" s="283"/>
      <c r="R803" s="283"/>
      <c r="S803" s="283"/>
      <c r="T803" s="283"/>
      <c r="U803" s="283"/>
      <c r="V803" s="283"/>
      <c r="W803" s="283"/>
      <c r="X803" s="283"/>
    </row>
    <row r="804" spans="1:24" ht="13.5" customHeight="1" x14ac:dyDescent="0.2">
      <c r="A804" s="283"/>
      <c r="B804" s="283"/>
      <c r="C804" s="283"/>
      <c r="D804" s="283"/>
      <c r="E804" s="283"/>
      <c r="F804" s="283"/>
      <c r="G804" s="283"/>
      <c r="H804" s="283"/>
      <c r="I804" s="283"/>
      <c r="J804" s="283"/>
      <c r="K804" s="283"/>
      <c r="L804" s="283"/>
      <c r="M804" s="283"/>
      <c r="N804" s="283"/>
      <c r="O804" s="283"/>
      <c r="P804" s="283"/>
      <c r="Q804" s="283"/>
      <c r="R804" s="283"/>
      <c r="S804" s="283"/>
      <c r="T804" s="283"/>
      <c r="U804" s="283"/>
      <c r="V804" s="283"/>
      <c r="W804" s="283"/>
      <c r="X804" s="283"/>
    </row>
    <row r="805" spans="1:24" ht="13.5" customHeight="1" x14ac:dyDescent="0.2">
      <c r="A805" s="283"/>
      <c r="B805" s="283"/>
      <c r="C805" s="283"/>
      <c r="D805" s="283"/>
      <c r="E805" s="283"/>
      <c r="F805" s="283"/>
      <c r="G805" s="283"/>
      <c r="H805" s="283"/>
      <c r="I805" s="283"/>
      <c r="J805" s="283"/>
      <c r="K805" s="283"/>
      <c r="L805" s="283"/>
      <c r="M805" s="283"/>
      <c r="N805" s="283"/>
      <c r="O805" s="283"/>
      <c r="P805" s="283"/>
      <c r="Q805" s="283"/>
      <c r="R805" s="283"/>
      <c r="S805" s="283"/>
      <c r="T805" s="283"/>
      <c r="U805" s="283"/>
      <c r="V805" s="283"/>
      <c r="W805" s="283"/>
      <c r="X805" s="283"/>
    </row>
    <row r="806" spans="1:24" ht="13.5" customHeight="1" x14ac:dyDescent="0.2">
      <c r="A806" s="283"/>
      <c r="B806" s="283"/>
      <c r="C806" s="283"/>
      <c r="D806" s="283"/>
      <c r="E806" s="283"/>
      <c r="F806" s="283"/>
      <c r="G806" s="283"/>
      <c r="H806" s="283"/>
      <c r="I806" s="283"/>
      <c r="J806" s="283"/>
      <c r="K806" s="283"/>
      <c r="L806" s="283"/>
      <c r="M806" s="283"/>
      <c r="N806" s="283"/>
      <c r="O806" s="283"/>
      <c r="P806" s="283"/>
      <c r="Q806" s="283"/>
      <c r="R806" s="283"/>
      <c r="S806" s="283"/>
      <c r="T806" s="283"/>
      <c r="U806" s="283"/>
      <c r="V806" s="283"/>
      <c r="W806" s="283"/>
      <c r="X806" s="283"/>
    </row>
    <row r="807" spans="1:24" ht="13.5" customHeight="1" x14ac:dyDescent="0.2">
      <c r="A807" s="283"/>
      <c r="B807" s="283"/>
      <c r="C807" s="283"/>
      <c r="D807" s="283"/>
      <c r="E807" s="283"/>
      <c r="F807" s="283"/>
      <c r="G807" s="283"/>
      <c r="H807" s="283"/>
      <c r="I807" s="283"/>
      <c r="J807" s="283"/>
      <c r="K807" s="283"/>
      <c r="L807" s="283"/>
      <c r="M807" s="283"/>
      <c r="N807" s="283"/>
      <c r="O807" s="283"/>
      <c r="P807" s="283"/>
      <c r="Q807" s="283"/>
      <c r="R807" s="283"/>
      <c r="S807" s="283"/>
      <c r="T807" s="283"/>
      <c r="U807" s="283"/>
      <c r="V807" s="283"/>
      <c r="W807" s="283"/>
      <c r="X807" s="283"/>
    </row>
    <row r="808" spans="1:24" ht="13.5" customHeight="1" x14ac:dyDescent="0.2">
      <c r="A808" s="283"/>
      <c r="B808" s="283"/>
      <c r="C808" s="283"/>
      <c r="D808" s="283"/>
      <c r="E808" s="283"/>
      <c r="F808" s="283"/>
      <c r="G808" s="283"/>
      <c r="H808" s="283"/>
      <c r="I808" s="283"/>
      <c r="J808" s="283"/>
      <c r="K808" s="283"/>
      <c r="L808" s="283"/>
      <c r="M808" s="283"/>
      <c r="N808" s="283"/>
      <c r="O808" s="283"/>
      <c r="P808" s="283"/>
      <c r="Q808" s="283"/>
      <c r="R808" s="283"/>
      <c r="S808" s="283"/>
      <c r="T808" s="283"/>
      <c r="U808" s="283"/>
      <c r="V808" s="283"/>
      <c r="W808" s="283"/>
      <c r="X808" s="283"/>
    </row>
    <row r="809" spans="1:24" ht="13.5" customHeight="1" x14ac:dyDescent="0.2">
      <c r="A809" s="283"/>
      <c r="B809" s="283"/>
      <c r="C809" s="283"/>
      <c r="D809" s="283"/>
      <c r="E809" s="283"/>
      <c r="F809" s="283"/>
      <c r="G809" s="283"/>
      <c r="H809" s="283"/>
      <c r="I809" s="283"/>
      <c r="J809" s="283"/>
      <c r="K809" s="283"/>
      <c r="L809" s="283"/>
      <c r="M809" s="283"/>
      <c r="N809" s="283"/>
      <c r="O809" s="283"/>
      <c r="P809" s="283"/>
      <c r="Q809" s="283"/>
      <c r="R809" s="283"/>
      <c r="S809" s="283"/>
      <c r="T809" s="283"/>
      <c r="U809" s="283"/>
      <c r="V809" s="283"/>
      <c r="W809" s="283"/>
      <c r="X809" s="283"/>
    </row>
    <row r="810" spans="1:24" ht="13.5" customHeight="1" x14ac:dyDescent="0.2">
      <c r="A810" s="283"/>
      <c r="B810" s="283"/>
      <c r="C810" s="283"/>
      <c r="D810" s="283"/>
      <c r="E810" s="283"/>
      <c r="F810" s="283"/>
      <c r="G810" s="283"/>
      <c r="H810" s="283"/>
      <c r="I810" s="283"/>
      <c r="J810" s="283"/>
      <c r="K810" s="283"/>
      <c r="L810" s="283"/>
      <c r="M810" s="283"/>
      <c r="N810" s="283"/>
      <c r="O810" s="283"/>
      <c r="P810" s="283"/>
      <c r="Q810" s="283"/>
      <c r="R810" s="283"/>
      <c r="S810" s="283"/>
      <c r="T810" s="283"/>
      <c r="U810" s="283"/>
      <c r="V810" s="283"/>
      <c r="W810" s="283"/>
      <c r="X810" s="283"/>
    </row>
    <row r="811" spans="1:24" ht="13.5" customHeight="1" x14ac:dyDescent="0.2">
      <c r="A811" s="283"/>
      <c r="B811" s="283"/>
      <c r="C811" s="283"/>
      <c r="D811" s="283"/>
      <c r="E811" s="283"/>
      <c r="F811" s="283"/>
      <c r="G811" s="283"/>
      <c r="H811" s="283"/>
      <c r="I811" s="283"/>
      <c r="J811" s="283"/>
      <c r="K811" s="283"/>
      <c r="L811" s="283"/>
      <c r="M811" s="283"/>
      <c r="N811" s="283"/>
      <c r="O811" s="283"/>
      <c r="P811" s="283"/>
      <c r="Q811" s="283"/>
      <c r="R811" s="283"/>
      <c r="S811" s="283"/>
      <c r="T811" s="283"/>
      <c r="U811" s="283"/>
      <c r="V811" s="283"/>
      <c r="W811" s="283"/>
      <c r="X811" s="283"/>
    </row>
    <row r="812" spans="1:24" ht="13.5" customHeight="1" x14ac:dyDescent="0.2">
      <c r="A812" s="283"/>
      <c r="B812" s="283"/>
      <c r="C812" s="283"/>
      <c r="D812" s="283"/>
      <c r="E812" s="283"/>
      <c r="F812" s="283"/>
      <c r="G812" s="283"/>
      <c r="H812" s="283"/>
      <c r="I812" s="283"/>
      <c r="J812" s="283"/>
      <c r="K812" s="283"/>
      <c r="L812" s="283"/>
      <c r="M812" s="283"/>
      <c r="N812" s="283"/>
      <c r="O812" s="283"/>
      <c r="P812" s="283"/>
      <c r="Q812" s="283"/>
      <c r="R812" s="283"/>
      <c r="S812" s="283"/>
      <c r="T812" s="283"/>
      <c r="U812" s="283"/>
      <c r="V812" s="283"/>
      <c r="W812" s="283"/>
      <c r="X812" s="283"/>
    </row>
    <row r="813" spans="1:24" ht="13.5" customHeight="1" x14ac:dyDescent="0.2">
      <c r="A813" s="283"/>
      <c r="B813" s="283"/>
      <c r="C813" s="283"/>
      <c r="D813" s="283"/>
      <c r="E813" s="283"/>
      <c r="F813" s="283"/>
      <c r="G813" s="283"/>
      <c r="H813" s="283"/>
      <c r="I813" s="283"/>
      <c r="J813" s="283"/>
      <c r="K813" s="283"/>
      <c r="L813" s="283"/>
      <c r="M813" s="283"/>
      <c r="N813" s="283"/>
      <c r="O813" s="283"/>
      <c r="P813" s="283"/>
      <c r="Q813" s="283"/>
      <c r="R813" s="283"/>
      <c r="S813" s="283"/>
      <c r="T813" s="283"/>
      <c r="U813" s="283"/>
      <c r="V813" s="283"/>
      <c r="W813" s="283"/>
      <c r="X813" s="283"/>
    </row>
    <row r="814" spans="1:24" ht="13.5" customHeight="1" x14ac:dyDescent="0.2">
      <c r="A814" s="283"/>
      <c r="B814" s="283"/>
      <c r="C814" s="283"/>
      <c r="D814" s="283"/>
      <c r="E814" s="283"/>
      <c r="F814" s="283"/>
      <c r="G814" s="283"/>
      <c r="H814" s="283"/>
      <c r="I814" s="283"/>
      <c r="J814" s="283"/>
      <c r="K814" s="283"/>
      <c r="L814" s="283"/>
      <c r="M814" s="283"/>
      <c r="N814" s="283"/>
      <c r="O814" s="283"/>
      <c r="P814" s="283"/>
      <c r="Q814" s="283"/>
      <c r="R814" s="283"/>
      <c r="S814" s="283"/>
      <c r="T814" s="283"/>
      <c r="U814" s="283"/>
      <c r="V814" s="283"/>
      <c r="W814" s="283"/>
      <c r="X814" s="283"/>
    </row>
    <row r="815" spans="1:24" ht="13.5" customHeight="1" x14ac:dyDescent="0.2">
      <c r="A815" s="283"/>
      <c r="B815" s="283"/>
      <c r="C815" s="283"/>
      <c r="D815" s="283"/>
      <c r="E815" s="283"/>
      <c r="F815" s="283"/>
      <c r="G815" s="283"/>
      <c r="H815" s="283"/>
      <c r="I815" s="283"/>
      <c r="J815" s="283"/>
      <c r="K815" s="283"/>
      <c r="L815" s="283"/>
      <c r="M815" s="283"/>
      <c r="N815" s="283"/>
      <c r="O815" s="283"/>
      <c r="P815" s="283"/>
      <c r="Q815" s="283"/>
      <c r="R815" s="283"/>
      <c r="S815" s="283"/>
      <c r="T815" s="283"/>
      <c r="U815" s="283"/>
      <c r="V815" s="283"/>
      <c r="W815" s="283"/>
      <c r="X815" s="283"/>
    </row>
    <row r="816" spans="1:24" ht="13.5" customHeight="1" x14ac:dyDescent="0.2">
      <c r="A816" s="283"/>
      <c r="B816" s="283"/>
      <c r="C816" s="283"/>
      <c r="D816" s="283"/>
      <c r="E816" s="283"/>
      <c r="F816" s="283"/>
      <c r="G816" s="283"/>
      <c r="H816" s="283"/>
      <c r="I816" s="283"/>
      <c r="J816" s="283"/>
      <c r="K816" s="283"/>
      <c r="L816" s="283"/>
      <c r="M816" s="283"/>
      <c r="N816" s="283"/>
      <c r="O816" s="283"/>
      <c r="P816" s="283"/>
      <c r="Q816" s="283"/>
      <c r="R816" s="283"/>
      <c r="S816" s="283"/>
      <c r="T816" s="283"/>
      <c r="U816" s="283"/>
      <c r="V816" s="283"/>
      <c r="W816" s="283"/>
      <c r="X816" s="283"/>
    </row>
    <row r="817" spans="1:24" ht="13.5" customHeight="1" x14ac:dyDescent="0.2">
      <c r="A817" s="283"/>
      <c r="B817" s="283"/>
      <c r="C817" s="283"/>
      <c r="D817" s="283"/>
      <c r="E817" s="283"/>
      <c r="F817" s="283"/>
      <c r="G817" s="283"/>
      <c r="H817" s="283"/>
      <c r="I817" s="283"/>
      <c r="J817" s="283"/>
      <c r="K817" s="283"/>
      <c r="L817" s="283"/>
      <c r="M817" s="283"/>
      <c r="N817" s="283"/>
      <c r="O817" s="283"/>
      <c r="P817" s="283"/>
      <c r="Q817" s="283"/>
      <c r="R817" s="283"/>
      <c r="S817" s="283"/>
      <c r="T817" s="283"/>
      <c r="U817" s="283"/>
      <c r="V817" s="283"/>
      <c r="W817" s="283"/>
      <c r="X817" s="283"/>
    </row>
    <row r="818" spans="1:24" ht="13.5" customHeight="1" x14ac:dyDescent="0.2">
      <c r="A818" s="283"/>
      <c r="B818" s="283"/>
      <c r="C818" s="283"/>
      <c r="D818" s="283"/>
      <c r="E818" s="283"/>
      <c r="F818" s="283"/>
      <c r="G818" s="283"/>
      <c r="H818" s="283"/>
      <c r="I818" s="283"/>
      <c r="J818" s="283"/>
      <c r="K818" s="283"/>
      <c r="L818" s="283"/>
      <c r="M818" s="283"/>
      <c r="N818" s="283"/>
      <c r="O818" s="283"/>
      <c r="P818" s="283"/>
      <c r="Q818" s="283"/>
      <c r="R818" s="283"/>
      <c r="S818" s="283"/>
      <c r="T818" s="283"/>
      <c r="U818" s="283"/>
      <c r="V818" s="283"/>
      <c r="W818" s="283"/>
      <c r="X818" s="283"/>
    </row>
    <row r="819" spans="1:24" ht="13.5" customHeight="1" x14ac:dyDescent="0.2">
      <c r="A819" s="283"/>
      <c r="B819" s="283"/>
      <c r="C819" s="283"/>
      <c r="D819" s="283"/>
      <c r="E819" s="283"/>
      <c r="F819" s="283"/>
      <c r="G819" s="283"/>
      <c r="H819" s="283"/>
      <c r="I819" s="283"/>
      <c r="J819" s="283"/>
      <c r="K819" s="283"/>
      <c r="L819" s="283"/>
      <c r="M819" s="283"/>
      <c r="N819" s="283"/>
      <c r="O819" s="283"/>
      <c r="P819" s="283"/>
      <c r="Q819" s="283"/>
      <c r="R819" s="283"/>
      <c r="S819" s="283"/>
      <c r="T819" s="283"/>
      <c r="U819" s="283"/>
      <c r="V819" s="283"/>
      <c r="W819" s="283"/>
      <c r="X819" s="283"/>
    </row>
    <row r="820" spans="1:24" ht="13.5" customHeight="1" x14ac:dyDescent="0.2">
      <c r="A820" s="283"/>
      <c r="B820" s="283"/>
      <c r="C820" s="283"/>
      <c r="D820" s="283"/>
      <c r="E820" s="283"/>
      <c r="F820" s="283"/>
      <c r="G820" s="283"/>
      <c r="H820" s="283"/>
      <c r="I820" s="283"/>
      <c r="J820" s="283"/>
      <c r="K820" s="283"/>
      <c r="L820" s="283"/>
      <c r="M820" s="283"/>
      <c r="N820" s="283"/>
      <c r="O820" s="283"/>
      <c r="P820" s="283"/>
      <c r="Q820" s="283"/>
      <c r="R820" s="283"/>
      <c r="S820" s="283"/>
      <c r="T820" s="283"/>
      <c r="U820" s="283"/>
      <c r="V820" s="283"/>
      <c r="W820" s="283"/>
      <c r="X820" s="283"/>
    </row>
    <row r="821" spans="1:24" ht="13.5" customHeight="1" x14ac:dyDescent="0.2">
      <c r="A821" s="283"/>
      <c r="B821" s="283"/>
      <c r="C821" s="283"/>
      <c r="D821" s="283"/>
      <c r="E821" s="283"/>
      <c r="F821" s="283"/>
      <c r="G821" s="283"/>
      <c r="H821" s="283"/>
      <c r="I821" s="283"/>
      <c r="J821" s="283"/>
      <c r="K821" s="283"/>
      <c r="L821" s="283"/>
      <c r="M821" s="283"/>
      <c r="N821" s="283"/>
      <c r="O821" s="283"/>
      <c r="P821" s="283"/>
      <c r="Q821" s="283"/>
      <c r="R821" s="283"/>
      <c r="S821" s="283"/>
      <c r="T821" s="283"/>
      <c r="U821" s="283"/>
      <c r="V821" s="283"/>
      <c r="W821" s="283"/>
      <c r="X821" s="283"/>
    </row>
    <row r="822" spans="1:24" ht="13.5" customHeight="1" x14ac:dyDescent="0.2">
      <c r="A822" s="283"/>
      <c r="B822" s="283"/>
      <c r="C822" s="283"/>
      <c r="D822" s="283"/>
      <c r="E822" s="283"/>
      <c r="F822" s="283"/>
      <c r="G822" s="283"/>
      <c r="H822" s="283"/>
      <c r="I822" s="283"/>
      <c r="J822" s="283"/>
      <c r="K822" s="283"/>
      <c r="L822" s="283"/>
      <c r="M822" s="283"/>
      <c r="N822" s="283"/>
      <c r="O822" s="283"/>
      <c r="P822" s="283"/>
      <c r="Q822" s="283"/>
      <c r="R822" s="283"/>
      <c r="S822" s="283"/>
      <c r="T822" s="283"/>
      <c r="U822" s="283"/>
      <c r="V822" s="283"/>
      <c r="W822" s="283"/>
      <c r="X822" s="283"/>
    </row>
    <row r="823" spans="1:24" ht="13.5" customHeight="1" x14ac:dyDescent="0.2">
      <c r="A823" s="283"/>
      <c r="B823" s="283"/>
      <c r="C823" s="283"/>
      <c r="D823" s="283"/>
      <c r="E823" s="283"/>
      <c r="F823" s="283"/>
      <c r="G823" s="283"/>
      <c r="H823" s="283"/>
      <c r="I823" s="283"/>
      <c r="J823" s="283"/>
      <c r="K823" s="283"/>
      <c r="L823" s="283"/>
      <c r="M823" s="283"/>
      <c r="N823" s="283"/>
      <c r="O823" s="283"/>
      <c r="P823" s="283"/>
      <c r="Q823" s="283"/>
      <c r="R823" s="283"/>
      <c r="S823" s="283"/>
      <c r="T823" s="283"/>
      <c r="U823" s="283"/>
      <c r="V823" s="283"/>
      <c r="W823" s="283"/>
      <c r="X823" s="283"/>
    </row>
    <row r="824" spans="1:24" ht="13.5" customHeight="1" x14ac:dyDescent="0.2">
      <c r="A824" s="283"/>
      <c r="B824" s="283"/>
      <c r="C824" s="283"/>
      <c r="D824" s="283"/>
      <c r="E824" s="283"/>
      <c r="F824" s="283"/>
      <c r="G824" s="283"/>
      <c r="H824" s="283"/>
      <c r="I824" s="283"/>
      <c r="J824" s="283"/>
      <c r="K824" s="283"/>
      <c r="L824" s="283"/>
      <c r="M824" s="283"/>
      <c r="N824" s="283"/>
      <c r="O824" s="283"/>
      <c r="P824" s="283"/>
      <c r="Q824" s="283"/>
      <c r="R824" s="283"/>
      <c r="S824" s="283"/>
      <c r="T824" s="283"/>
      <c r="U824" s="283"/>
      <c r="V824" s="283"/>
      <c r="W824" s="283"/>
      <c r="X824" s="283"/>
    </row>
    <row r="825" spans="1:24" ht="13.5" customHeight="1" x14ac:dyDescent="0.2">
      <c r="A825" s="283"/>
      <c r="B825" s="283"/>
      <c r="C825" s="283"/>
      <c r="D825" s="283"/>
      <c r="E825" s="283"/>
      <c r="F825" s="283"/>
      <c r="G825" s="283"/>
      <c r="H825" s="283"/>
      <c r="I825" s="283"/>
      <c r="J825" s="283"/>
      <c r="K825" s="283"/>
      <c r="L825" s="283"/>
      <c r="M825" s="283"/>
      <c r="N825" s="283"/>
      <c r="O825" s="283"/>
      <c r="P825" s="283"/>
      <c r="Q825" s="283"/>
      <c r="R825" s="283"/>
      <c r="S825" s="283"/>
      <c r="T825" s="283"/>
      <c r="U825" s="283"/>
      <c r="V825" s="283"/>
      <c r="W825" s="283"/>
      <c r="X825" s="283"/>
    </row>
    <row r="826" spans="1:24" ht="13.5" customHeight="1" x14ac:dyDescent="0.2">
      <c r="A826" s="283"/>
      <c r="B826" s="283"/>
      <c r="C826" s="283"/>
      <c r="D826" s="283"/>
      <c r="E826" s="283"/>
      <c r="F826" s="283"/>
      <c r="G826" s="283"/>
      <c r="H826" s="283"/>
      <c r="I826" s="283"/>
      <c r="J826" s="283"/>
      <c r="K826" s="283"/>
      <c r="L826" s="283"/>
      <c r="M826" s="283"/>
      <c r="N826" s="283"/>
      <c r="O826" s="283"/>
      <c r="P826" s="283"/>
      <c r="Q826" s="283"/>
      <c r="R826" s="283"/>
      <c r="S826" s="283"/>
      <c r="T826" s="283"/>
      <c r="U826" s="283"/>
      <c r="V826" s="283"/>
      <c r="W826" s="283"/>
      <c r="X826" s="283"/>
    </row>
    <row r="827" spans="1:24" ht="13.5" customHeight="1" x14ac:dyDescent="0.2">
      <c r="A827" s="283"/>
      <c r="B827" s="283"/>
      <c r="C827" s="283"/>
      <c r="D827" s="283"/>
      <c r="E827" s="283"/>
      <c r="F827" s="283"/>
      <c r="G827" s="283"/>
      <c r="H827" s="283"/>
      <c r="I827" s="283"/>
      <c r="J827" s="283"/>
      <c r="K827" s="283"/>
      <c r="L827" s="283"/>
      <c r="M827" s="283"/>
      <c r="N827" s="283"/>
      <c r="O827" s="283"/>
      <c r="P827" s="283"/>
      <c r="Q827" s="283"/>
      <c r="R827" s="283"/>
      <c r="S827" s="283"/>
      <c r="T827" s="283"/>
      <c r="U827" s="283"/>
      <c r="V827" s="283"/>
      <c r="W827" s="283"/>
      <c r="X827" s="283"/>
    </row>
    <row r="828" spans="1:24" ht="13.5" customHeight="1" x14ac:dyDescent="0.2">
      <c r="A828" s="283"/>
      <c r="B828" s="283"/>
      <c r="C828" s="283"/>
      <c r="D828" s="283"/>
      <c r="E828" s="283"/>
      <c r="F828" s="283"/>
      <c r="G828" s="283"/>
      <c r="H828" s="283"/>
      <c r="I828" s="283"/>
      <c r="J828" s="283"/>
      <c r="K828" s="283"/>
      <c r="L828" s="283"/>
      <c r="M828" s="283"/>
      <c r="N828" s="283"/>
      <c r="O828" s="283"/>
      <c r="P828" s="283"/>
      <c r="Q828" s="283"/>
      <c r="R828" s="283"/>
      <c r="S828" s="283"/>
      <c r="T828" s="283"/>
      <c r="U828" s="283"/>
      <c r="V828" s="283"/>
      <c r="W828" s="283"/>
      <c r="X828" s="283"/>
    </row>
    <row r="829" spans="1:24" ht="13.5" customHeight="1" x14ac:dyDescent="0.2">
      <c r="A829" s="283"/>
      <c r="B829" s="283"/>
      <c r="C829" s="283"/>
      <c r="D829" s="283"/>
      <c r="E829" s="283"/>
      <c r="F829" s="283"/>
      <c r="G829" s="283"/>
      <c r="H829" s="283"/>
      <c r="I829" s="283"/>
      <c r="J829" s="283"/>
      <c r="K829" s="283"/>
      <c r="L829" s="283"/>
      <c r="M829" s="283"/>
      <c r="N829" s="283"/>
      <c r="O829" s="283"/>
      <c r="P829" s="283"/>
      <c r="Q829" s="283"/>
      <c r="R829" s="283"/>
      <c r="S829" s="283"/>
      <c r="T829" s="283"/>
      <c r="U829" s="283"/>
      <c r="V829" s="283"/>
      <c r="W829" s="283"/>
      <c r="X829" s="283"/>
    </row>
    <row r="830" spans="1:24" ht="13.5" customHeight="1" x14ac:dyDescent="0.2">
      <c r="A830" s="283"/>
      <c r="B830" s="283"/>
      <c r="C830" s="283"/>
      <c r="D830" s="283"/>
      <c r="E830" s="283"/>
      <c r="F830" s="283"/>
      <c r="G830" s="283"/>
      <c r="H830" s="283"/>
      <c r="I830" s="283"/>
      <c r="J830" s="283"/>
      <c r="K830" s="283"/>
      <c r="L830" s="283"/>
      <c r="M830" s="283"/>
      <c r="N830" s="283"/>
      <c r="O830" s="283"/>
      <c r="P830" s="283"/>
      <c r="Q830" s="283"/>
      <c r="R830" s="283"/>
      <c r="S830" s="283"/>
      <c r="T830" s="283"/>
      <c r="U830" s="283"/>
      <c r="V830" s="283"/>
      <c r="W830" s="283"/>
      <c r="X830" s="283"/>
    </row>
    <row r="831" spans="1:24" ht="13.5" customHeight="1" x14ac:dyDescent="0.2">
      <c r="A831" s="283"/>
      <c r="B831" s="283"/>
      <c r="C831" s="283"/>
      <c r="D831" s="283"/>
      <c r="E831" s="283"/>
      <c r="F831" s="283"/>
      <c r="G831" s="283"/>
      <c r="H831" s="283"/>
      <c r="I831" s="283"/>
      <c r="J831" s="283"/>
      <c r="K831" s="283"/>
      <c r="L831" s="283"/>
      <c r="M831" s="283"/>
      <c r="N831" s="283"/>
      <c r="O831" s="283"/>
      <c r="P831" s="283"/>
      <c r="Q831" s="283"/>
      <c r="R831" s="283"/>
      <c r="S831" s="283"/>
      <c r="T831" s="283"/>
      <c r="U831" s="283"/>
      <c r="V831" s="283"/>
      <c r="W831" s="283"/>
      <c r="X831" s="283"/>
    </row>
    <row r="832" spans="1:24" ht="13.5" customHeight="1" x14ac:dyDescent="0.2">
      <c r="A832" s="283"/>
      <c r="B832" s="283"/>
      <c r="C832" s="283"/>
      <c r="D832" s="283"/>
      <c r="E832" s="283"/>
      <c r="F832" s="283"/>
      <c r="G832" s="283"/>
      <c r="H832" s="283"/>
      <c r="I832" s="283"/>
      <c r="J832" s="283"/>
      <c r="K832" s="283"/>
      <c r="L832" s="283"/>
      <c r="M832" s="283"/>
      <c r="N832" s="283"/>
      <c r="O832" s="283"/>
      <c r="P832" s="283"/>
      <c r="Q832" s="283"/>
      <c r="R832" s="283"/>
      <c r="S832" s="283"/>
      <c r="T832" s="283"/>
      <c r="U832" s="283"/>
      <c r="V832" s="283"/>
      <c r="W832" s="283"/>
      <c r="X832" s="283"/>
    </row>
    <row r="833" spans="1:24" ht="13.5" customHeight="1" x14ac:dyDescent="0.2">
      <c r="A833" s="283"/>
      <c r="B833" s="283"/>
      <c r="C833" s="283"/>
      <c r="D833" s="283"/>
      <c r="E833" s="283"/>
      <c r="F833" s="283"/>
      <c r="G833" s="283"/>
      <c r="H833" s="283"/>
      <c r="I833" s="283"/>
      <c r="J833" s="283"/>
      <c r="K833" s="283"/>
      <c r="L833" s="283"/>
      <c r="M833" s="283"/>
      <c r="N833" s="283"/>
      <c r="O833" s="283"/>
      <c r="P833" s="283"/>
      <c r="Q833" s="283"/>
      <c r="R833" s="283"/>
      <c r="S833" s="283"/>
      <c r="T833" s="283"/>
      <c r="U833" s="283"/>
      <c r="V833" s="283"/>
      <c r="W833" s="283"/>
      <c r="X833" s="283"/>
    </row>
    <row r="834" spans="1:24" ht="13.5" customHeight="1" x14ac:dyDescent="0.2">
      <c r="A834" s="283"/>
      <c r="B834" s="283"/>
      <c r="C834" s="283"/>
      <c r="D834" s="283"/>
      <c r="E834" s="283"/>
      <c r="F834" s="283"/>
      <c r="G834" s="283"/>
      <c r="H834" s="283"/>
      <c r="I834" s="283"/>
      <c r="J834" s="283"/>
      <c r="K834" s="283"/>
      <c r="L834" s="283"/>
      <c r="M834" s="283"/>
      <c r="N834" s="283"/>
      <c r="O834" s="283"/>
      <c r="P834" s="283"/>
      <c r="Q834" s="283"/>
      <c r="R834" s="283"/>
      <c r="S834" s="283"/>
      <c r="T834" s="283"/>
      <c r="U834" s="283"/>
      <c r="V834" s="283"/>
      <c r="W834" s="283"/>
      <c r="X834" s="283"/>
    </row>
    <row r="835" spans="1:24" ht="13.5" customHeight="1" x14ac:dyDescent="0.2">
      <c r="A835" s="283"/>
      <c r="B835" s="283"/>
      <c r="C835" s="283"/>
      <c r="D835" s="283"/>
      <c r="E835" s="283"/>
      <c r="F835" s="283"/>
      <c r="G835" s="283"/>
      <c r="H835" s="283"/>
      <c r="I835" s="283"/>
      <c r="J835" s="283"/>
      <c r="K835" s="283"/>
      <c r="L835" s="283"/>
      <c r="M835" s="283"/>
      <c r="N835" s="283"/>
      <c r="O835" s="283"/>
      <c r="P835" s="283"/>
      <c r="Q835" s="283"/>
      <c r="R835" s="283"/>
      <c r="S835" s="283"/>
      <c r="T835" s="283"/>
      <c r="U835" s="283"/>
      <c r="V835" s="283"/>
      <c r="W835" s="283"/>
      <c r="X835" s="283"/>
    </row>
    <row r="836" spans="1:24" ht="13.5" customHeight="1" x14ac:dyDescent="0.2">
      <c r="A836" s="283"/>
      <c r="B836" s="283"/>
      <c r="C836" s="283"/>
      <c r="D836" s="283"/>
      <c r="E836" s="283"/>
      <c r="F836" s="283"/>
      <c r="G836" s="283"/>
      <c r="H836" s="283"/>
      <c r="I836" s="283"/>
      <c r="J836" s="283"/>
      <c r="K836" s="283"/>
      <c r="L836" s="283"/>
      <c r="M836" s="283"/>
      <c r="N836" s="283"/>
      <c r="O836" s="283"/>
      <c r="P836" s="283"/>
      <c r="Q836" s="283"/>
      <c r="R836" s="283"/>
      <c r="S836" s="283"/>
      <c r="T836" s="283"/>
      <c r="U836" s="283"/>
      <c r="V836" s="283"/>
      <c r="W836" s="283"/>
      <c r="X836" s="283"/>
    </row>
    <row r="837" spans="1:24" ht="13.5" customHeight="1" x14ac:dyDescent="0.2">
      <c r="A837" s="283"/>
      <c r="B837" s="283"/>
      <c r="C837" s="283"/>
      <c r="D837" s="283"/>
      <c r="E837" s="283"/>
      <c r="F837" s="283"/>
      <c r="G837" s="283"/>
      <c r="H837" s="283"/>
      <c r="I837" s="283"/>
      <c r="J837" s="283"/>
      <c r="K837" s="283"/>
      <c r="L837" s="283"/>
      <c r="M837" s="283"/>
      <c r="N837" s="283"/>
      <c r="O837" s="283"/>
      <c r="P837" s="283"/>
      <c r="Q837" s="283"/>
      <c r="R837" s="283"/>
      <c r="S837" s="283"/>
      <c r="T837" s="283"/>
      <c r="U837" s="283"/>
      <c r="V837" s="283"/>
      <c r="W837" s="283"/>
      <c r="X837" s="283"/>
    </row>
    <row r="838" spans="1:24" ht="13.5" customHeight="1" x14ac:dyDescent="0.2">
      <c r="A838" s="283"/>
      <c r="B838" s="283"/>
      <c r="C838" s="283"/>
      <c r="D838" s="283"/>
      <c r="E838" s="283"/>
      <c r="F838" s="283"/>
      <c r="G838" s="283"/>
      <c r="H838" s="283"/>
      <c r="I838" s="283"/>
      <c r="J838" s="283"/>
      <c r="K838" s="283"/>
      <c r="L838" s="283"/>
      <c r="M838" s="283"/>
      <c r="N838" s="283"/>
      <c r="O838" s="283"/>
      <c r="P838" s="283"/>
      <c r="Q838" s="283"/>
      <c r="R838" s="283"/>
      <c r="S838" s="283"/>
      <c r="T838" s="283"/>
      <c r="U838" s="283"/>
      <c r="V838" s="283"/>
      <c r="W838" s="283"/>
      <c r="X838" s="283"/>
    </row>
    <row r="839" spans="1:24" ht="13.5" customHeight="1" x14ac:dyDescent="0.2">
      <c r="A839" s="283"/>
      <c r="B839" s="283"/>
      <c r="C839" s="283"/>
      <c r="D839" s="283"/>
      <c r="E839" s="283"/>
      <c r="F839" s="283"/>
      <c r="G839" s="283"/>
      <c r="H839" s="283"/>
      <c r="I839" s="283"/>
      <c r="J839" s="283"/>
      <c r="K839" s="283"/>
      <c r="L839" s="283"/>
      <c r="M839" s="283"/>
      <c r="N839" s="283"/>
      <c r="O839" s="283"/>
      <c r="P839" s="283"/>
      <c r="Q839" s="283"/>
      <c r="R839" s="283"/>
      <c r="S839" s="283"/>
      <c r="T839" s="283"/>
      <c r="U839" s="283"/>
      <c r="V839" s="283"/>
      <c r="W839" s="283"/>
      <c r="X839" s="283"/>
    </row>
    <row r="840" spans="1:24" ht="13.5" customHeight="1" x14ac:dyDescent="0.2">
      <c r="A840" s="283"/>
      <c r="B840" s="283"/>
      <c r="C840" s="283"/>
      <c r="D840" s="283"/>
      <c r="E840" s="283"/>
      <c r="F840" s="283"/>
      <c r="G840" s="283"/>
      <c r="H840" s="283"/>
      <c r="I840" s="283"/>
      <c r="J840" s="283"/>
      <c r="K840" s="283"/>
      <c r="L840" s="283"/>
      <c r="M840" s="283"/>
      <c r="N840" s="283"/>
      <c r="O840" s="283"/>
      <c r="P840" s="283"/>
      <c r="Q840" s="283"/>
      <c r="R840" s="283"/>
      <c r="S840" s="283"/>
      <c r="T840" s="283"/>
      <c r="U840" s="283"/>
      <c r="V840" s="283"/>
      <c r="W840" s="283"/>
      <c r="X840" s="283"/>
    </row>
    <row r="841" spans="1:24" ht="13.5" customHeight="1" x14ac:dyDescent="0.2">
      <c r="A841" s="283"/>
      <c r="B841" s="283"/>
      <c r="C841" s="283"/>
      <c r="D841" s="283"/>
      <c r="E841" s="283"/>
      <c r="F841" s="283"/>
      <c r="G841" s="283"/>
      <c r="H841" s="283"/>
      <c r="I841" s="283"/>
      <c r="J841" s="283"/>
      <c r="K841" s="283"/>
      <c r="L841" s="283"/>
      <c r="M841" s="283"/>
      <c r="N841" s="283"/>
      <c r="O841" s="283"/>
      <c r="P841" s="283"/>
      <c r="Q841" s="283"/>
      <c r="R841" s="283"/>
      <c r="S841" s="283"/>
      <c r="T841" s="283"/>
      <c r="U841" s="283"/>
      <c r="V841" s="283"/>
      <c r="W841" s="283"/>
      <c r="X841" s="283"/>
    </row>
    <row r="842" spans="1:24" ht="13.5" customHeight="1" x14ac:dyDescent="0.2">
      <c r="A842" s="283"/>
      <c r="B842" s="283"/>
      <c r="C842" s="283"/>
      <c r="D842" s="283"/>
      <c r="E842" s="283"/>
      <c r="F842" s="283"/>
      <c r="G842" s="283"/>
      <c r="H842" s="283"/>
      <c r="I842" s="283"/>
      <c r="J842" s="283"/>
      <c r="K842" s="283"/>
      <c r="L842" s="283"/>
      <c r="M842" s="283"/>
      <c r="N842" s="283"/>
      <c r="O842" s="283"/>
      <c r="P842" s="283"/>
      <c r="Q842" s="283"/>
      <c r="R842" s="283"/>
      <c r="S842" s="283"/>
      <c r="T842" s="283"/>
      <c r="U842" s="283"/>
      <c r="V842" s="283"/>
      <c r="W842" s="283"/>
      <c r="X842" s="283"/>
    </row>
    <row r="843" spans="1:24" ht="13.5" customHeight="1" x14ac:dyDescent="0.2">
      <c r="A843" s="283"/>
      <c r="B843" s="283"/>
      <c r="C843" s="283"/>
      <c r="D843" s="283"/>
      <c r="E843" s="283"/>
      <c r="F843" s="283"/>
      <c r="G843" s="283"/>
      <c r="H843" s="283"/>
      <c r="I843" s="283"/>
      <c r="J843" s="283"/>
      <c r="K843" s="283"/>
      <c r="L843" s="283"/>
      <c r="M843" s="283"/>
      <c r="N843" s="283"/>
      <c r="O843" s="283"/>
      <c r="P843" s="283"/>
      <c r="Q843" s="283"/>
      <c r="R843" s="283"/>
      <c r="S843" s="283"/>
      <c r="T843" s="283"/>
      <c r="U843" s="283"/>
      <c r="V843" s="283"/>
      <c r="W843" s="283"/>
      <c r="X843" s="283"/>
    </row>
    <row r="844" spans="1:24" ht="13.5" customHeight="1" x14ac:dyDescent="0.2">
      <c r="A844" s="283"/>
      <c r="B844" s="283"/>
      <c r="C844" s="283"/>
      <c r="D844" s="283"/>
      <c r="E844" s="283"/>
      <c r="F844" s="283"/>
      <c r="G844" s="283"/>
      <c r="H844" s="283"/>
      <c r="I844" s="283"/>
      <c r="J844" s="283"/>
      <c r="K844" s="283"/>
      <c r="L844" s="283"/>
      <c r="M844" s="283"/>
      <c r="N844" s="283"/>
      <c r="O844" s="283"/>
      <c r="P844" s="283"/>
      <c r="Q844" s="283"/>
      <c r="R844" s="283"/>
      <c r="S844" s="283"/>
      <c r="T844" s="283"/>
      <c r="U844" s="283"/>
      <c r="V844" s="283"/>
      <c r="W844" s="283"/>
      <c r="X844" s="283"/>
    </row>
    <row r="845" spans="1:24" ht="13.5" customHeight="1" x14ac:dyDescent="0.2">
      <c r="A845" s="283"/>
      <c r="B845" s="283"/>
      <c r="C845" s="283"/>
      <c r="D845" s="283"/>
      <c r="E845" s="283"/>
      <c r="F845" s="283"/>
      <c r="G845" s="283"/>
      <c r="H845" s="283"/>
      <c r="I845" s="283"/>
      <c r="J845" s="283"/>
      <c r="K845" s="283"/>
      <c r="L845" s="283"/>
      <c r="M845" s="283"/>
      <c r="N845" s="283"/>
      <c r="O845" s="283"/>
      <c r="P845" s="283"/>
      <c r="Q845" s="283"/>
      <c r="R845" s="283"/>
      <c r="S845" s="283"/>
      <c r="T845" s="283"/>
      <c r="U845" s="283"/>
      <c r="V845" s="283"/>
      <c r="W845" s="283"/>
      <c r="X845" s="283"/>
    </row>
    <row r="846" spans="1:24" ht="13.5" customHeight="1" x14ac:dyDescent="0.2">
      <c r="A846" s="283"/>
      <c r="B846" s="283"/>
      <c r="C846" s="283"/>
      <c r="D846" s="283"/>
      <c r="E846" s="283"/>
      <c r="F846" s="283"/>
      <c r="G846" s="283"/>
      <c r="H846" s="283"/>
      <c r="I846" s="283"/>
      <c r="J846" s="283"/>
      <c r="K846" s="283"/>
      <c r="L846" s="283"/>
      <c r="M846" s="283"/>
      <c r="N846" s="283"/>
      <c r="O846" s="283"/>
      <c r="P846" s="283"/>
      <c r="Q846" s="283"/>
      <c r="R846" s="283"/>
      <c r="S846" s="283"/>
      <c r="T846" s="283"/>
      <c r="U846" s="283"/>
      <c r="V846" s="283"/>
      <c r="W846" s="283"/>
      <c r="X846" s="283"/>
    </row>
    <row r="847" spans="1:24" ht="13.5" customHeight="1" x14ac:dyDescent="0.2">
      <c r="A847" s="283"/>
      <c r="B847" s="283"/>
      <c r="C847" s="283"/>
      <c r="D847" s="283"/>
      <c r="E847" s="283"/>
      <c r="F847" s="283"/>
      <c r="G847" s="283"/>
      <c r="H847" s="283"/>
      <c r="I847" s="283"/>
      <c r="J847" s="283"/>
      <c r="K847" s="283"/>
      <c r="L847" s="283"/>
      <c r="M847" s="283"/>
      <c r="N847" s="283"/>
      <c r="O847" s="283"/>
      <c r="P847" s="283"/>
      <c r="Q847" s="283"/>
      <c r="R847" s="283"/>
      <c r="S847" s="283"/>
      <c r="T847" s="283"/>
      <c r="U847" s="283"/>
      <c r="V847" s="283"/>
      <c r="W847" s="283"/>
      <c r="X847" s="283"/>
    </row>
    <row r="848" spans="1:24" ht="13.5" customHeight="1" x14ac:dyDescent="0.2">
      <c r="A848" s="283"/>
      <c r="B848" s="283"/>
      <c r="C848" s="283"/>
      <c r="D848" s="283"/>
      <c r="E848" s="283"/>
      <c r="F848" s="283"/>
      <c r="G848" s="283"/>
      <c r="H848" s="283"/>
      <c r="I848" s="283"/>
      <c r="J848" s="283"/>
      <c r="K848" s="283"/>
      <c r="L848" s="283"/>
      <c r="M848" s="283"/>
      <c r="N848" s="283"/>
      <c r="O848" s="283"/>
      <c r="P848" s="283"/>
      <c r="Q848" s="283"/>
      <c r="R848" s="283"/>
      <c r="S848" s="283"/>
      <c r="T848" s="283"/>
      <c r="U848" s="283"/>
      <c r="V848" s="283"/>
      <c r="W848" s="283"/>
      <c r="X848" s="283"/>
    </row>
    <row r="849" spans="1:24" ht="13.5" customHeight="1" x14ac:dyDescent="0.2">
      <c r="A849" s="283"/>
      <c r="B849" s="283"/>
      <c r="C849" s="283"/>
      <c r="D849" s="283"/>
      <c r="E849" s="283"/>
      <c r="F849" s="283"/>
      <c r="G849" s="283"/>
      <c r="H849" s="283"/>
      <c r="I849" s="283"/>
      <c r="J849" s="283"/>
      <c r="K849" s="283"/>
      <c r="L849" s="283"/>
      <c r="M849" s="283"/>
      <c r="N849" s="283"/>
      <c r="O849" s="283"/>
      <c r="P849" s="283"/>
      <c r="Q849" s="283"/>
      <c r="R849" s="283"/>
      <c r="S849" s="283"/>
      <c r="T849" s="283"/>
      <c r="U849" s="283"/>
      <c r="V849" s="283"/>
      <c r="W849" s="283"/>
      <c r="X849" s="283"/>
    </row>
    <row r="850" spans="1:24" ht="13.5" customHeight="1" x14ac:dyDescent="0.2">
      <c r="A850" s="283"/>
      <c r="B850" s="283"/>
      <c r="C850" s="283"/>
      <c r="D850" s="283"/>
      <c r="E850" s="283"/>
      <c r="F850" s="283"/>
      <c r="G850" s="283"/>
      <c r="H850" s="283"/>
      <c r="I850" s="283"/>
      <c r="J850" s="283"/>
      <c r="K850" s="283"/>
      <c r="L850" s="283"/>
      <c r="M850" s="283"/>
      <c r="N850" s="283"/>
      <c r="O850" s="283"/>
      <c r="P850" s="283"/>
      <c r="Q850" s="283"/>
      <c r="R850" s="283"/>
      <c r="S850" s="283"/>
      <c r="T850" s="283"/>
      <c r="U850" s="283"/>
      <c r="V850" s="283"/>
      <c r="W850" s="283"/>
      <c r="X850" s="283"/>
    </row>
    <row r="851" spans="1:24" ht="13.5" customHeight="1" x14ac:dyDescent="0.2">
      <c r="A851" s="283"/>
      <c r="B851" s="283"/>
      <c r="C851" s="283"/>
      <c r="D851" s="283"/>
      <c r="E851" s="283"/>
      <c r="F851" s="283"/>
      <c r="G851" s="283"/>
      <c r="H851" s="283"/>
      <c r="I851" s="283"/>
      <c r="J851" s="283"/>
      <c r="K851" s="283"/>
      <c r="L851" s="283"/>
      <c r="M851" s="283"/>
      <c r="N851" s="283"/>
      <c r="O851" s="283"/>
      <c r="P851" s="283"/>
      <c r="Q851" s="283"/>
      <c r="R851" s="283"/>
      <c r="S851" s="283"/>
      <c r="T851" s="283"/>
      <c r="U851" s="283"/>
      <c r="V851" s="283"/>
      <c r="W851" s="283"/>
      <c r="X851" s="283"/>
    </row>
    <row r="852" spans="1:24" ht="13.5" customHeight="1" x14ac:dyDescent="0.2">
      <c r="A852" s="283"/>
      <c r="B852" s="283"/>
      <c r="C852" s="283"/>
      <c r="D852" s="283"/>
      <c r="E852" s="283"/>
      <c r="F852" s="283"/>
      <c r="G852" s="283"/>
      <c r="H852" s="283"/>
      <c r="I852" s="283"/>
      <c r="J852" s="283"/>
      <c r="K852" s="283"/>
      <c r="L852" s="283"/>
      <c r="M852" s="283"/>
      <c r="N852" s="283"/>
      <c r="O852" s="283"/>
      <c r="P852" s="283"/>
      <c r="Q852" s="283"/>
      <c r="R852" s="283"/>
      <c r="S852" s="283"/>
      <c r="T852" s="283"/>
      <c r="U852" s="283"/>
      <c r="V852" s="283"/>
      <c r="W852" s="283"/>
      <c r="X852" s="283"/>
    </row>
    <row r="853" spans="1:24" ht="13.5" customHeight="1" x14ac:dyDescent="0.2">
      <c r="A853" s="283"/>
      <c r="B853" s="283"/>
      <c r="C853" s="283"/>
      <c r="D853" s="283"/>
      <c r="E853" s="283"/>
      <c r="F853" s="283"/>
      <c r="G853" s="283"/>
      <c r="H853" s="283"/>
      <c r="I853" s="283"/>
      <c r="J853" s="283"/>
      <c r="K853" s="283"/>
      <c r="L853" s="283"/>
      <c r="M853" s="283"/>
      <c r="N853" s="283"/>
      <c r="O853" s="283"/>
      <c r="P853" s="283"/>
      <c r="Q853" s="283"/>
      <c r="R853" s="283"/>
      <c r="S853" s="283"/>
      <c r="T853" s="283"/>
      <c r="U853" s="283"/>
      <c r="V853" s="283"/>
      <c r="W853" s="283"/>
      <c r="X853" s="283"/>
    </row>
    <row r="854" spans="1:24" ht="13.5" customHeight="1" x14ac:dyDescent="0.2">
      <c r="A854" s="283"/>
      <c r="B854" s="283"/>
      <c r="C854" s="283"/>
      <c r="D854" s="283"/>
      <c r="E854" s="283"/>
      <c r="F854" s="283"/>
      <c r="G854" s="283"/>
      <c r="H854" s="283"/>
      <c r="I854" s="283"/>
      <c r="J854" s="283"/>
      <c r="K854" s="283"/>
      <c r="L854" s="283"/>
      <c r="M854" s="283"/>
      <c r="N854" s="283"/>
      <c r="O854" s="283"/>
      <c r="P854" s="283"/>
      <c r="Q854" s="283"/>
      <c r="R854" s="283"/>
      <c r="S854" s="283"/>
      <c r="T854" s="283"/>
      <c r="U854" s="283"/>
      <c r="V854" s="283"/>
      <c r="W854" s="283"/>
      <c r="X854" s="283"/>
    </row>
    <row r="855" spans="1:24" ht="13.5" customHeight="1" x14ac:dyDescent="0.2">
      <c r="A855" s="283"/>
      <c r="B855" s="283"/>
      <c r="C855" s="283"/>
      <c r="D855" s="283"/>
      <c r="E855" s="283"/>
      <c r="F855" s="283"/>
      <c r="G855" s="283"/>
      <c r="H855" s="283"/>
      <c r="I855" s="283"/>
      <c r="J855" s="283"/>
      <c r="K855" s="283"/>
      <c r="L855" s="283"/>
      <c r="M855" s="283"/>
      <c r="N855" s="283"/>
      <c r="O855" s="283"/>
      <c r="P855" s="283"/>
      <c r="Q855" s="283"/>
      <c r="R855" s="283"/>
      <c r="S855" s="283"/>
      <c r="T855" s="283"/>
      <c r="U855" s="283"/>
      <c r="V855" s="283"/>
      <c r="W855" s="283"/>
      <c r="X855" s="283"/>
    </row>
    <row r="856" spans="1:24" ht="13.5" customHeight="1" x14ac:dyDescent="0.2">
      <c r="A856" s="283"/>
      <c r="B856" s="283"/>
      <c r="C856" s="283"/>
      <c r="D856" s="283"/>
      <c r="E856" s="283"/>
      <c r="F856" s="283"/>
      <c r="G856" s="283"/>
      <c r="H856" s="283"/>
      <c r="I856" s="283"/>
      <c r="J856" s="283"/>
      <c r="K856" s="283"/>
      <c r="L856" s="283"/>
      <c r="M856" s="283"/>
      <c r="N856" s="283"/>
      <c r="O856" s="283"/>
      <c r="P856" s="283"/>
      <c r="Q856" s="283"/>
      <c r="R856" s="283"/>
      <c r="S856" s="283"/>
      <c r="T856" s="283"/>
      <c r="U856" s="283"/>
      <c r="V856" s="283"/>
      <c r="W856" s="283"/>
      <c r="X856" s="283"/>
    </row>
    <row r="857" spans="1:24" ht="13.5" customHeight="1" x14ac:dyDescent="0.2">
      <c r="A857" s="283"/>
      <c r="B857" s="283"/>
      <c r="C857" s="283"/>
      <c r="D857" s="283"/>
      <c r="E857" s="283"/>
      <c r="F857" s="283"/>
      <c r="G857" s="283"/>
      <c r="H857" s="283"/>
      <c r="I857" s="283"/>
      <c r="J857" s="283"/>
      <c r="K857" s="283"/>
      <c r="L857" s="283"/>
      <c r="M857" s="283"/>
      <c r="N857" s="283"/>
      <c r="O857" s="283"/>
      <c r="P857" s="283"/>
      <c r="Q857" s="283"/>
      <c r="R857" s="283"/>
      <c r="S857" s="283"/>
      <c r="T857" s="283"/>
      <c r="U857" s="283"/>
      <c r="V857" s="283"/>
      <c r="W857" s="283"/>
      <c r="X857" s="283"/>
    </row>
    <row r="858" spans="1:24" ht="13.5" customHeight="1" x14ac:dyDescent="0.2">
      <c r="A858" s="283"/>
      <c r="B858" s="283"/>
      <c r="C858" s="283"/>
      <c r="D858" s="283"/>
      <c r="E858" s="283"/>
      <c r="F858" s="283"/>
      <c r="G858" s="283"/>
      <c r="H858" s="283"/>
      <c r="I858" s="283"/>
      <c r="J858" s="283"/>
      <c r="K858" s="283"/>
      <c r="L858" s="283"/>
      <c r="M858" s="283"/>
      <c r="N858" s="283"/>
      <c r="O858" s="283"/>
      <c r="P858" s="283"/>
      <c r="Q858" s="283"/>
      <c r="R858" s="283"/>
      <c r="S858" s="283"/>
      <c r="T858" s="283"/>
      <c r="U858" s="283"/>
      <c r="V858" s="283"/>
      <c r="W858" s="283"/>
      <c r="X858" s="283"/>
    </row>
    <row r="859" spans="1:24" ht="13.5" customHeight="1" x14ac:dyDescent="0.2">
      <c r="A859" s="283"/>
      <c r="B859" s="283"/>
      <c r="C859" s="283"/>
      <c r="D859" s="283"/>
      <c r="E859" s="283"/>
      <c r="F859" s="283"/>
      <c r="G859" s="283"/>
      <c r="H859" s="283"/>
      <c r="I859" s="283"/>
      <c r="J859" s="283"/>
      <c r="K859" s="283"/>
      <c r="L859" s="283"/>
      <c r="M859" s="283"/>
      <c r="N859" s="283"/>
      <c r="O859" s="283"/>
      <c r="P859" s="283"/>
      <c r="Q859" s="283"/>
      <c r="R859" s="283"/>
      <c r="S859" s="283"/>
      <c r="T859" s="283"/>
      <c r="U859" s="283"/>
      <c r="V859" s="283"/>
      <c r="W859" s="283"/>
      <c r="X859" s="283"/>
    </row>
    <row r="860" spans="1:24" ht="13.5" customHeight="1" x14ac:dyDescent="0.2">
      <c r="A860" s="283"/>
      <c r="B860" s="283"/>
      <c r="C860" s="283"/>
      <c r="D860" s="283"/>
      <c r="E860" s="283"/>
      <c r="F860" s="283"/>
      <c r="G860" s="283"/>
      <c r="H860" s="283"/>
      <c r="I860" s="283"/>
      <c r="J860" s="283"/>
      <c r="K860" s="283"/>
      <c r="L860" s="283"/>
      <c r="M860" s="283"/>
      <c r="N860" s="283"/>
      <c r="O860" s="283"/>
      <c r="P860" s="283"/>
      <c r="Q860" s="283"/>
      <c r="R860" s="283"/>
      <c r="S860" s="283"/>
      <c r="T860" s="283"/>
      <c r="U860" s="283"/>
      <c r="V860" s="283"/>
      <c r="W860" s="283"/>
      <c r="X860" s="283"/>
    </row>
    <row r="861" spans="1:24" ht="13.5" customHeight="1" x14ac:dyDescent="0.2">
      <c r="A861" s="283"/>
      <c r="B861" s="283"/>
      <c r="C861" s="283"/>
      <c r="D861" s="283"/>
      <c r="E861" s="283"/>
      <c r="F861" s="283"/>
      <c r="G861" s="283"/>
      <c r="H861" s="283"/>
      <c r="I861" s="283"/>
      <c r="J861" s="283"/>
      <c r="K861" s="283"/>
      <c r="L861" s="283"/>
      <c r="M861" s="283"/>
      <c r="N861" s="283"/>
      <c r="O861" s="283"/>
      <c r="P861" s="283"/>
      <c r="Q861" s="283"/>
      <c r="R861" s="283"/>
      <c r="S861" s="283"/>
      <c r="T861" s="283"/>
      <c r="U861" s="283"/>
      <c r="V861" s="283"/>
      <c r="W861" s="283"/>
      <c r="X861" s="283"/>
    </row>
    <row r="862" spans="1:24" ht="13.5" customHeight="1" x14ac:dyDescent="0.2">
      <c r="A862" s="283"/>
      <c r="B862" s="283"/>
      <c r="C862" s="283"/>
      <c r="D862" s="283"/>
      <c r="E862" s="283"/>
      <c r="F862" s="283"/>
      <c r="G862" s="283"/>
      <c r="H862" s="283"/>
      <c r="I862" s="283"/>
      <c r="J862" s="283"/>
      <c r="K862" s="283"/>
      <c r="L862" s="283"/>
      <c r="M862" s="283"/>
      <c r="N862" s="283"/>
      <c r="O862" s="283"/>
      <c r="P862" s="283"/>
      <c r="Q862" s="283"/>
      <c r="R862" s="283"/>
      <c r="S862" s="283"/>
      <c r="T862" s="283"/>
      <c r="U862" s="283"/>
      <c r="V862" s="283"/>
      <c r="W862" s="283"/>
      <c r="X862" s="283"/>
    </row>
    <row r="863" spans="1:24" ht="13.5" customHeight="1" x14ac:dyDescent="0.2">
      <c r="A863" s="283"/>
      <c r="B863" s="283"/>
      <c r="C863" s="283"/>
      <c r="D863" s="283"/>
      <c r="E863" s="283"/>
      <c r="F863" s="283"/>
      <c r="G863" s="283"/>
      <c r="H863" s="283"/>
      <c r="I863" s="283"/>
      <c r="J863" s="283"/>
      <c r="K863" s="283"/>
      <c r="L863" s="283"/>
      <c r="M863" s="283"/>
      <c r="N863" s="283"/>
      <c r="O863" s="283"/>
      <c r="P863" s="283"/>
      <c r="Q863" s="283"/>
      <c r="R863" s="283"/>
      <c r="S863" s="283"/>
      <c r="T863" s="283"/>
      <c r="U863" s="283"/>
      <c r="V863" s="283"/>
      <c r="W863" s="283"/>
      <c r="X863" s="283"/>
    </row>
    <row r="864" spans="1:24" ht="13.5" customHeight="1" x14ac:dyDescent="0.2">
      <c r="A864" s="283"/>
      <c r="B864" s="283"/>
      <c r="C864" s="283"/>
      <c r="D864" s="283"/>
      <c r="E864" s="283"/>
      <c r="F864" s="283"/>
      <c r="G864" s="283"/>
      <c r="H864" s="283"/>
      <c r="I864" s="283"/>
      <c r="J864" s="283"/>
      <c r="K864" s="283"/>
      <c r="L864" s="283"/>
      <c r="M864" s="283"/>
      <c r="N864" s="283"/>
      <c r="O864" s="283"/>
      <c r="P864" s="283"/>
      <c r="Q864" s="283"/>
      <c r="R864" s="283"/>
      <c r="S864" s="283"/>
      <c r="T864" s="283"/>
      <c r="U864" s="283"/>
      <c r="V864" s="283"/>
      <c r="W864" s="283"/>
      <c r="X864" s="283"/>
    </row>
    <row r="865" spans="1:24" ht="13.5" customHeight="1" x14ac:dyDescent="0.2">
      <c r="A865" s="283"/>
      <c r="B865" s="283"/>
      <c r="C865" s="283"/>
      <c r="D865" s="283"/>
      <c r="E865" s="283"/>
      <c r="F865" s="283"/>
      <c r="G865" s="283"/>
      <c r="H865" s="283"/>
      <c r="I865" s="283"/>
      <c r="J865" s="283"/>
      <c r="K865" s="283"/>
      <c r="L865" s="283"/>
      <c r="M865" s="283"/>
      <c r="N865" s="283"/>
      <c r="O865" s="283"/>
      <c r="P865" s="283"/>
      <c r="Q865" s="283"/>
      <c r="R865" s="283"/>
      <c r="S865" s="283"/>
      <c r="T865" s="283"/>
      <c r="U865" s="283"/>
      <c r="V865" s="283"/>
      <c r="W865" s="283"/>
      <c r="X865" s="283"/>
    </row>
    <row r="866" spans="1:24" ht="13.5" customHeight="1" x14ac:dyDescent="0.2">
      <c r="A866" s="283"/>
      <c r="B866" s="283"/>
      <c r="C866" s="283"/>
      <c r="D866" s="283"/>
      <c r="E866" s="283"/>
      <c r="F866" s="283"/>
      <c r="G866" s="283"/>
      <c r="H866" s="283"/>
      <c r="I866" s="283"/>
      <c r="J866" s="283"/>
      <c r="K866" s="283"/>
      <c r="L866" s="283"/>
      <c r="M866" s="283"/>
      <c r="N866" s="283"/>
      <c r="O866" s="283"/>
      <c r="P866" s="283"/>
      <c r="Q866" s="283"/>
      <c r="R866" s="283"/>
      <c r="S866" s="283"/>
      <c r="T866" s="283"/>
      <c r="U866" s="283"/>
      <c r="V866" s="283"/>
      <c r="W866" s="283"/>
      <c r="X866" s="283"/>
    </row>
    <row r="867" spans="1:24" ht="13.5" customHeight="1" x14ac:dyDescent="0.2">
      <c r="A867" s="283"/>
      <c r="B867" s="283"/>
      <c r="C867" s="283"/>
      <c r="D867" s="283"/>
      <c r="E867" s="283"/>
      <c r="F867" s="283"/>
      <c r="G867" s="283"/>
      <c r="H867" s="283"/>
      <c r="I867" s="283"/>
      <c r="J867" s="283"/>
      <c r="K867" s="283"/>
      <c r="L867" s="283"/>
      <c r="M867" s="283"/>
      <c r="N867" s="283"/>
      <c r="O867" s="283"/>
      <c r="P867" s="283"/>
      <c r="Q867" s="283"/>
      <c r="R867" s="283"/>
      <c r="S867" s="283"/>
      <c r="T867" s="283"/>
      <c r="U867" s="283"/>
      <c r="V867" s="283"/>
      <c r="W867" s="283"/>
      <c r="X867" s="283"/>
    </row>
    <row r="868" spans="1:24" ht="13.5" customHeight="1" x14ac:dyDescent="0.2">
      <c r="A868" s="283"/>
      <c r="B868" s="283"/>
      <c r="C868" s="283"/>
      <c r="D868" s="283"/>
      <c r="E868" s="283"/>
      <c r="F868" s="283"/>
      <c r="G868" s="283"/>
      <c r="H868" s="283"/>
      <c r="I868" s="283"/>
      <c r="J868" s="283"/>
      <c r="K868" s="283"/>
      <c r="L868" s="283"/>
      <c r="M868" s="283"/>
      <c r="N868" s="283"/>
      <c r="O868" s="283"/>
      <c r="P868" s="283"/>
      <c r="Q868" s="283"/>
      <c r="R868" s="283"/>
      <c r="S868" s="283"/>
      <c r="T868" s="283"/>
      <c r="U868" s="283"/>
      <c r="V868" s="283"/>
      <c r="W868" s="283"/>
      <c r="X868" s="283"/>
    </row>
    <row r="869" spans="1:24" ht="13.5" customHeight="1" x14ac:dyDescent="0.2">
      <c r="A869" s="283"/>
      <c r="B869" s="283"/>
      <c r="C869" s="283"/>
      <c r="D869" s="283"/>
      <c r="E869" s="283"/>
      <c r="F869" s="283"/>
      <c r="G869" s="283"/>
      <c r="H869" s="283"/>
      <c r="I869" s="283"/>
      <c r="J869" s="283"/>
      <c r="K869" s="283"/>
      <c r="L869" s="283"/>
      <c r="M869" s="283"/>
      <c r="N869" s="283"/>
      <c r="O869" s="283"/>
      <c r="P869" s="283"/>
      <c r="Q869" s="283"/>
      <c r="R869" s="283"/>
      <c r="S869" s="283"/>
      <c r="T869" s="283"/>
      <c r="U869" s="283"/>
      <c r="V869" s="283"/>
      <c r="W869" s="283"/>
      <c r="X869" s="283"/>
    </row>
    <row r="870" spans="1:24" ht="13.5" customHeight="1" x14ac:dyDescent="0.2">
      <c r="A870" s="283"/>
      <c r="B870" s="283"/>
      <c r="C870" s="283"/>
      <c r="D870" s="283"/>
      <c r="E870" s="283"/>
      <c r="F870" s="283"/>
      <c r="G870" s="283"/>
      <c r="H870" s="283"/>
      <c r="I870" s="283"/>
      <c r="J870" s="283"/>
      <c r="K870" s="283"/>
      <c r="L870" s="283"/>
      <c r="M870" s="283"/>
      <c r="N870" s="283"/>
      <c r="O870" s="283"/>
      <c r="P870" s="283"/>
      <c r="Q870" s="283"/>
      <c r="R870" s="283"/>
      <c r="S870" s="283"/>
      <c r="T870" s="283"/>
      <c r="U870" s="283"/>
      <c r="V870" s="283"/>
      <c r="W870" s="283"/>
      <c r="X870" s="283"/>
    </row>
    <row r="871" spans="1:24" ht="13.5" customHeight="1" x14ac:dyDescent="0.2">
      <c r="A871" s="283"/>
      <c r="B871" s="283"/>
      <c r="C871" s="283"/>
      <c r="D871" s="283"/>
      <c r="E871" s="283"/>
      <c r="F871" s="283"/>
      <c r="G871" s="283"/>
      <c r="H871" s="283"/>
      <c r="I871" s="283"/>
      <c r="J871" s="283"/>
      <c r="K871" s="283"/>
      <c r="L871" s="283"/>
      <c r="M871" s="283"/>
      <c r="N871" s="283"/>
      <c r="O871" s="283"/>
      <c r="P871" s="283"/>
      <c r="Q871" s="283"/>
      <c r="R871" s="283"/>
      <c r="S871" s="283"/>
      <c r="T871" s="283"/>
      <c r="U871" s="283"/>
      <c r="V871" s="283"/>
      <c r="W871" s="283"/>
      <c r="X871" s="283"/>
    </row>
    <row r="872" spans="1:24" ht="13.5" customHeight="1" x14ac:dyDescent="0.2">
      <c r="A872" s="283"/>
      <c r="B872" s="283"/>
      <c r="C872" s="283"/>
      <c r="D872" s="283"/>
      <c r="E872" s="283"/>
      <c r="F872" s="283"/>
      <c r="G872" s="283"/>
      <c r="H872" s="283"/>
      <c r="I872" s="283"/>
      <c r="J872" s="283"/>
      <c r="K872" s="283"/>
      <c r="L872" s="283"/>
      <c r="M872" s="283"/>
      <c r="N872" s="283"/>
      <c r="O872" s="283"/>
      <c r="P872" s="283"/>
      <c r="Q872" s="283"/>
      <c r="R872" s="283"/>
      <c r="S872" s="283"/>
      <c r="T872" s="283"/>
      <c r="U872" s="283"/>
      <c r="V872" s="283"/>
      <c r="W872" s="283"/>
      <c r="X872" s="283"/>
    </row>
    <row r="873" spans="1:24" ht="13.5" customHeight="1" x14ac:dyDescent="0.2">
      <c r="A873" s="283"/>
      <c r="B873" s="283"/>
      <c r="C873" s="283"/>
      <c r="D873" s="283"/>
      <c r="E873" s="283"/>
      <c r="F873" s="283"/>
      <c r="G873" s="283"/>
      <c r="H873" s="283"/>
      <c r="I873" s="283"/>
      <c r="J873" s="283"/>
      <c r="K873" s="283"/>
      <c r="L873" s="283"/>
      <c r="M873" s="283"/>
      <c r="N873" s="283"/>
      <c r="O873" s="283"/>
      <c r="P873" s="283"/>
      <c r="Q873" s="283"/>
      <c r="R873" s="283"/>
      <c r="S873" s="283"/>
      <c r="T873" s="283"/>
      <c r="U873" s="283"/>
      <c r="V873" s="283"/>
      <c r="W873" s="283"/>
      <c r="X873" s="283"/>
    </row>
    <row r="874" spans="1:24" ht="13.5" customHeight="1" x14ac:dyDescent="0.2">
      <c r="A874" s="283"/>
      <c r="B874" s="283"/>
      <c r="C874" s="283"/>
      <c r="D874" s="283"/>
      <c r="E874" s="283"/>
      <c r="F874" s="283"/>
      <c r="G874" s="283"/>
      <c r="H874" s="283"/>
      <c r="I874" s="283"/>
      <c r="J874" s="283"/>
      <c r="K874" s="283"/>
      <c r="L874" s="283"/>
      <c r="M874" s="283"/>
      <c r="N874" s="283"/>
      <c r="O874" s="283"/>
      <c r="P874" s="283"/>
      <c r="Q874" s="283"/>
      <c r="R874" s="283"/>
      <c r="S874" s="283"/>
      <c r="T874" s="283"/>
      <c r="U874" s="283"/>
      <c r="V874" s="283"/>
      <c r="W874" s="283"/>
      <c r="X874" s="283"/>
    </row>
    <row r="875" spans="1:24" ht="13.5" customHeight="1" x14ac:dyDescent="0.2">
      <c r="A875" s="283"/>
      <c r="B875" s="283"/>
      <c r="C875" s="283"/>
      <c r="D875" s="283"/>
      <c r="E875" s="283"/>
      <c r="F875" s="283"/>
      <c r="G875" s="283"/>
      <c r="H875" s="283"/>
      <c r="I875" s="283"/>
      <c r="J875" s="283"/>
      <c r="K875" s="283"/>
      <c r="L875" s="283"/>
      <c r="M875" s="283"/>
      <c r="N875" s="283"/>
      <c r="O875" s="283"/>
      <c r="P875" s="283"/>
      <c r="Q875" s="283"/>
      <c r="R875" s="283"/>
      <c r="S875" s="283"/>
      <c r="T875" s="283"/>
      <c r="U875" s="283"/>
      <c r="V875" s="283"/>
      <c r="W875" s="283"/>
      <c r="X875" s="283"/>
    </row>
    <row r="876" spans="1:24" ht="13.5" customHeight="1" x14ac:dyDescent="0.2">
      <c r="A876" s="283"/>
      <c r="B876" s="283"/>
      <c r="C876" s="283"/>
      <c r="D876" s="283"/>
      <c r="E876" s="283"/>
      <c r="F876" s="283"/>
      <c r="G876" s="283"/>
      <c r="H876" s="283"/>
      <c r="I876" s="283"/>
      <c r="J876" s="283"/>
      <c r="K876" s="283"/>
      <c r="L876" s="283"/>
      <c r="M876" s="283"/>
      <c r="N876" s="283"/>
      <c r="O876" s="283"/>
      <c r="P876" s="283"/>
      <c r="Q876" s="283"/>
      <c r="R876" s="283"/>
      <c r="S876" s="283"/>
      <c r="T876" s="283"/>
      <c r="U876" s="283"/>
      <c r="V876" s="283"/>
      <c r="W876" s="283"/>
      <c r="X876" s="283"/>
    </row>
    <row r="877" spans="1:24" ht="13.5" customHeight="1" x14ac:dyDescent="0.2">
      <c r="A877" s="283"/>
      <c r="B877" s="283"/>
      <c r="C877" s="283"/>
      <c r="D877" s="283"/>
      <c r="E877" s="283"/>
      <c r="F877" s="283"/>
      <c r="G877" s="283"/>
      <c r="H877" s="283"/>
      <c r="I877" s="283"/>
      <c r="J877" s="283"/>
      <c r="K877" s="283"/>
      <c r="L877" s="283"/>
      <c r="M877" s="283"/>
      <c r="N877" s="283"/>
      <c r="O877" s="283"/>
      <c r="P877" s="283"/>
      <c r="Q877" s="283"/>
      <c r="R877" s="283"/>
      <c r="S877" s="283"/>
      <c r="T877" s="283"/>
      <c r="U877" s="283"/>
      <c r="V877" s="283"/>
      <c r="W877" s="283"/>
      <c r="X877" s="283"/>
    </row>
    <row r="878" spans="1:24" ht="13.5" customHeight="1" x14ac:dyDescent="0.2">
      <c r="A878" s="283"/>
      <c r="B878" s="283"/>
      <c r="C878" s="283"/>
      <c r="D878" s="283"/>
      <c r="E878" s="283"/>
      <c r="F878" s="283"/>
      <c r="G878" s="283"/>
      <c r="H878" s="283"/>
      <c r="I878" s="283"/>
      <c r="J878" s="283"/>
      <c r="K878" s="283"/>
      <c r="L878" s="283"/>
      <c r="M878" s="283"/>
      <c r="N878" s="283"/>
      <c r="O878" s="283"/>
      <c r="P878" s="283"/>
      <c r="Q878" s="283"/>
      <c r="R878" s="283"/>
      <c r="S878" s="283"/>
      <c r="T878" s="283"/>
      <c r="U878" s="283"/>
      <c r="V878" s="283"/>
      <c r="W878" s="283"/>
      <c r="X878" s="283"/>
    </row>
    <row r="879" spans="1:24" ht="13.5" customHeight="1" x14ac:dyDescent="0.2">
      <c r="A879" s="283"/>
      <c r="B879" s="283"/>
      <c r="C879" s="283"/>
      <c r="D879" s="283"/>
      <c r="E879" s="283"/>
      <c r="F879" s="283"/>
      <c r="G879" s="283"/>
      <c r="H879" s="283"/>
      <c r="I879" s="283"/>
      <c r="J879" s="283"/>
      <c r="K879" s="283"/>
      <c r="L879" s="283"/>
      <c r="M879" s="283"/>
      <c r="N879" s="283"/>
      <c r="O879" s="283"/>
      <c r="P879" s="283"/>
      <c r="Q879" s="283"/>
      <c r="R879" s="283"/>
      <c r="S879" s="283"/>
      <c r="T879" s="283"/>
      <c r="U879" s="283"/>
      <c r="V879" s="283"/>
      <c r="W879" s="283"/>
      <c r="X879" s="283"/>
    </row>
    <row r="880" spans="1:24" ht="13.5" customHeight="1" x14ac:dyDescent="0.2">
      <c r="A880" s="283"/>
      <c r="B880" s="283"/>
      <c r="C880" s="283"/>
      <c r="D880" s="283"/>
      <c r="E880" s="283"/>
      <c r="F880" s="283"/>
      <c r="G880" s="283"/>
      <c r="H880" s="283"/>
      <c r="I880" s="283"/>
      <c r="J880" s="283"/>
      <c r="K880" s="283"/>
      <c r="L880" s="283"/>
      <c r="M880" s="283"/>
      <c r="N880" s="283"/>
      <c r="O880" s="283"/>
      <c r="P880" s="283"/>
      <c r="Q880" s="283"/>
      <c r="R880" s="283"/>
      <c r="S880" s="283"/>
      <c r="T880" s="283"/>
      <c r="U880" s="283"/>
      <c r="V880" s="283"/>
      <c r="W880" s="283"/>
      <c r="X880" s="283"/>
    </row>
    <row r="881" spans="1:24" ht="13.5" customHeight="1" x14ac:dyDescent="0.2">
      <c r="A881" s="283"/>
      <c r="B881" s="283"/>
      <c r="C881" s="283"/>
      <c r="D881" s="283"/>
      <c r="E881" s="283"/>
      <c r="F881" s="283"/>
      <c r="G881" s="283"/>
      <c r="H881" s="283"/>
      <c r="I881" s="283"/>
      <c r="J881" s="283"/>
      <c r="K881" s="283"/>
      <c r="L881" s="283"/>
      <c r="M881" s="283"/>
      <c r="N881" s="283"/>
      <c r="O881" s="283"/>
      <c r="P881" s="283"/>
      <c r="Q881" s="283"/>
      <c r="R881" s="283"/>
      <c r="S881" s="283"/>
      <c r="T881" s="283"/>
      <c r="U881" s="283"/>
      <c r="V881" s="283"/>
      <c r="W881" s="283"/>
      <c r="X881" s="283"/>
    </row>
    <row r="882" spans="1:24" ht="13.5" customHeight="1" x14ac:dyDescent="0.2">
      <c r="A882" s="283"/>
      <c r="B882" s="283"/>
      <c r="C882" s="283"/>
      <c r="D882" s="283"/>
      <c r="E882" s="283"/>
      <c r="F882" s="283"/>
      <c r="G882" s="283"/>
      <c r="H882" s="283"/>
      <c r="I882" s="283"/>
      <c r="J882" s="283"/>
      <c r="K882" s="283"/>
      <c r="L882" s="283"/>
      <c r="M882" s="283"/>
      <c r="N882" s="283"/>
      <c r="O882" s="283"/>
      <c r="P882" s="283"/>
      <c r="Q882" s="283"/>
      <c r="R882" s="283"/>
      <c r="S882" s="283"/>
      <c r="T882" s="283"/>
      <c r="U882" s="283"/>
      <c r="V882" s="283"/>
      <c r="W882" s="283"/>
      <c r="X882" s="283"/>
    </row>
    <row r="883" spans="1:24" ht="13.5" customHeight="1" x14ac:dyDescent="0.2">
      <c r="A883" s="283"/>
      <c r="B883" s="283"/>
      <c r="C883" s="283"/>
      <c r="D883" s="283"/>
      <c r="E883" s="283"/>
      <c r="F883" s="283"/>
      <c r="G883" s="283"/>
      <c r="H883" s="283"/>
      <c r="I883" s="283"/>
      <c r="J883" s="283"/>
      <c r="K883" s="283"/>
      <c r="L883" s="283"/>
      <c r="M883" s="283"/>
      <c r="N883" s="283"/>
      <c r="O883" s="283"/>
      <c r="P883" s="283"/>
      <c r="Q883" s="283"/>
      <c r="R883" s="283"/>
      <c r="S883" s="283"/>
      <c r="T883" s="283"/>
      <c r="U883" s="283"/>
      <c r="V883" s="283"/>
      <c r="W883" s="283"/>
      <c r="X883" s="283"/>
    </row>
    <row r="884" spans="1:24" ht="13.5" customHeight="1" x14ac:dyDescent="0.2">
      <c r="A884" s="283"/>
      <c r="B884" s="283"/>
      <c r="C884" s="283"/>
      <c r="D884" s="283"/>
      <c r="E884" s="283"/>
      <c r="F884" s="283"/>
      <c r="G884" s="283"/>
      <c r="H884" s="283"/>
      <c r="I884" s="283"/>
      <c r="J884" s="283"/>
      <c r="K884" s="283"/>
      <c r="L884" s="283"/>
      <c r="M884" s="283"/>
      <c r="N884" s="283"/>
      <c r="O884" s="283"/>
      <c r="P884" s="283"/>
      <c r="Q884" s="283"/>
      <c r="R884" s="283"/>
      <c r="S884" s="283"/>
      <c r="T884" s="283"/>
      <c r="U884" s="283"/>
      <c r="V884" s="283"/>
      <c r="W884" s="283"/>
      <c r="X884" s="283"/>
    </row>
    <row r="885" spans="1:24" ht="13.5" customHeight="1" x14ac:dyDescent="0.2">
      <c r="A885" s="283"/>
      <c r="B885" s="283"/>
      <c r="C885" s="283"/>
      <c r="D885" s="283"/>
      <c r="E885" s="283"/>
      <c r="F885" s="283"/>
      <c r="G885" s="283"/>
      <c r="H885" s="283"/>
      <c r="I885" s="283"/>
      <c r="J885" s="283"/>
      <c r="K885" s="283"/>
      <c r="L885" s="283"/>
      <c r="M885" s="283"/>
      <c r="N885" s="283"/>
      <c r="O885" s="283"/>
      <c r="P885" s="283"/>
      <c r="Q885" s="283"/>
      <c r="R885" s="283"/>
      <c r="S885" s="283"/>
      <c r="T885" s="283"/>
      <c r="U885" s="283"/>
      <c r="V885" s="283"/>
      <c r="W885" s="283"/>
      <c r="X885" s="283"/>
    </row>
    <row r="886" spans="1:24" ht="13.5" customHeight="1" x14ac:dyDescent="0.2">
      <c r="A886" s="283"/>
      <c r="B886" s="283"/>
      <c r="C886" s="283"/>
      <c r="D886" s="283"/>
      <c r="E886" s="283"/>
      <c r="F886" s="283"/>
      <c r="G886" s="283"/>
      <c r="H886" s="283"/>
      <c r="I886" s="283"/>
      <c r="J886" s="283"/>
      <c r="K886" s="283"/>
      <c r="L886" s="283"/>
      <c r="M886" s="283"/>
      <c r="N886" s="283"/>
      <c r="O886" s="283"/>
      <c r="P886" s="283"/>
      <c r="Q886" s="283"/>
      <c r="R886" s="283"/>
      <c r="S886" s="283"/>
      <c r="T886" s="283"/>
      <c r="U886" s="283"/>
      <c r="V886" s="283"/>
      <c r="W886" s="283"/>
      <c r="X886" s="283"/>
    </row>
    <row r="887" spans="1:24" ht="13.5" customHeight="1" x14ac:dyDescent="0.2">
      <c r="A887" s="283"/>
      <c r="B887" s="283"/>
      <c r="C887" s="283"/>
      <c r="D887" s="283"/>
      <c r="E887" s="283"/>
      <c r="F887" s="283"/>
      <c r="G887" s="283"/>
      <c r="H887" s="283"/>
      <c r="I887" s="283"/>
      <c r="J887" s="283"/>
      <c r="K887" s="283"/>
      <c r="L887" s="283"/>
      <c r="M887" s="283"/>
      <c r="N887" s="283"/>
      <c r="O887" s="283"/>
      <c r="P887" s="283"/>
      <c r="Q887" s="283"/>
      <c r="R887" s="283"/>
      <c r="S887" s="283"/>
      <c r="T887" s="283"/>
      <c r="U887" s="283"/>
      <c r="V887" s="283"/>
      <c r="W887" s="283"/>
      <c r="X887" s="283"/>
    </row>
    <row r="888" spans="1:24" ht="13.5" customHeight="1" x14ac:dyDescent="0.2">
      <c r="A888" s="283"/>
      <c r="B888" s="283"/>
      <c r="C888" s="283"/>
      <c r="D888" s="283"/>
      <c r="E888" s="283"/>
      <c r="F888" s="283"/>
      <c r="G888" s="283"/>
      <c r="H888" s="283"/>
      <c r="I888" s="283"/>
      <c r="J888" s="283"/>
      <c r="K888" s="283"/>
      <c r="L888" s="283"/>
      <c r="M888" s="283"/>
      <c r="N888" s="283"/>
      <c r="O888" s="283"/>
      <c r="P888" s="283"/>
      <c r="Q888" s="283"/>
      <c r="R888" s="283"/>
      <c r="S888" s="283"/>
      <c r="T888" s="283"/>
      <c r="U888" s="283"/>
      <c r="V888" s="283"/>
      <c r="W888" s="283"/>
      <c r="X888" s="283"/>
    </row>
    <row r="889" spans="1:24" ht="13.5" customHeight="1" x14ac:dyDescent="0.2">
      <c r="A889" s="283"/>
      <c r="B889" s="283"/>
      <c r="C889" s="283"/>
      <c r="D889" s="283"/>
      <c r="E889" s="283"/>
      <c r="F889" s="283"/>
      <c r="G889" s="283"/>
      <c r="H889" s="283"/>
      <c r="I889" s="283"/>
      <c r="J889" s="283"/>
      <c r="K889" s="283"/>
      <c r="L889" s="283"/>
      <c r="M889" s="283"/>
      <c r="N889" s="283"/>
      <c r="O889" s="283"/>
      <c r="P889" s="283"/>
      <c r="Q889" s="283"/>
      <c r="R889" s="283"/>
      <c r="S889" s="283"/>
      <c r="T889" s="283"/>
      <c r="U889" s="283"/>
      <c r="V889" s="283"/>
      <c r="W889" s="283"/>
      <c r="X889" s="283"/>
    </row>
    <row r="890" spans="1:24" ht="13.5" customHeight="1" x14ac:dyDescent="0.2">
      <c r="A890" s="283"/>
      <c r="B890" s="283"/>
      <c r="C890" s="283"/>
      <c r="D890" s="283"/>
      <c r="E890" s="283"/>
      <c r="F890" s="283"/>
      <c r="G890" s="283"/>
      <c r="H890" s="283"/>
      <c r="I890" s="283"/>
      <c r="J890" s="283"/>
      <c r="K890" s="283"/>
      <c r="L890" s="283"/>
      <c r="M890" s="283"/>
      <c r="N890" s="283"/>
      <c r="O890" s="283"/>
      <c r="P890" s="283"/>
      <c r="Q890" s="283"/>
      <c r="R890" s="283"/>
      <c r="S890" s="283"/>
      <c r="T890" s="283"/>
      <c r="U890" s="283"/>
      <c r="V890" s="283"/>
      <c r="W890" s="283"/>
      <c r="X890" s="283"/>
    </row>
    <row r="891" spans="1:24" ht="13.5" customHeight="1" x14ac:dyDescent="0.2">
      <c r="A891" s="283"/>
      <c r="B891" s="283"/>
      <c r="C891" s="283"/>
      <c r="D891" s="283"/>
      <c r="E891" s="283"/>
      <c r="F891" s="283"/>
      <c r="G891" s="283"/>
      <c r="H891" s="283"/>
      <c r="I891" s="283"/>
      <c r="J891" s="283"/>
      <c r="K891" s="283"/>
      <c r="L891" s="283"/>
      <c r="M891" s="283"/>
      <c r="N891" s="283"/>
      <c r="O891" s="283"/>
      <c r="P891" s="283"/>
      <c r="Q891" s="283"/>
      <c r="R891" s="283"/>
      <c r="S891" s="283"/>
      <c r="T891" s="283"/>
      <c r="U891" s="283"/>
      <c r="V891" s="283"/>
      <c r="W891" s="283"/>
      <c r="X891" s="283"/>
    </row>
    <row r="892" spans="1:24" ht="13.5" customHeight="1" x14ac:dyDescent="0.2">
      <c r="A892" s="283"/>
      <c r="B892" s="283"/>
      <c r="C892" s="283"/>
      <c r="D892" s="283"/>
      <c r="E892" s="283"/>
      <c r="F892" s="283"/>
      <c r="G892" s="283"/>
      <c r="H892" s="283"/>
      <c r="I892" s="283"/>
      <c r="J892" s="283"/>
      <c r="K892" s="283"/>
      <c r="L892" s="283"/>
      <c r="M892" s="283"/>
      <c r="N892" s="283"/>
      <c r="O892" s="283"/>
      <c r="P892" s="283"/>
      <c r="Q892" s="283"/>
      <c r="R892" s="283"/>
      <c r="S892" s="283"/>
      <c r="T892" s="283"/>
      <c r="U892" s="283"/>
      <c r="V892" s="283"/>
      <c r="W892" s="283"/>
      <c r="X892" s="283"/>
    </row>
    <row r="893" spans="1:24" ht="13.5" customHeight="1" x14ac:dyDescent="0.2">
      <c r="A893" s="283"/>
      <c r="B893" s="283"/>
      <c r="C893" s="283"/>
      <c r="D893" s="283"/>
      <c r="E893" s="283"/>
      <c r="F893" s="283"/>
      <c r="G893" s="283"/>
      <c r="H893" s="283"/>
      <c r="I893" s="283"/>
      <c r="J893" s="283"/>
      <c r="K893" s="283"/>
      <c r="L893" s="283"/>
      <c r="M893" s="283"/>
      <c r="N893" s="283"/>
      <c r="O893" s="283"/>
      <c r="P893" s="283"/>
      <c r="Q893" s="283"/>
      <c r="R893" s="283"/>
      <c r="S893" s="283"/>
      <c r="T893" s="283"/>
      <c r="U893" s="283"/>
      <c r="V893" s="283"/>
      <c r="W893" s="283"/>
      <c r="X893" s="283"/>
    </row>
    <row r="894" spans="1:24" ht="13.5" customHeight="1" x14ac:dyDescent="0.2">
      <c r="A894" s="283"/>
      <c r="B894" s="283"/>
      <c r="C894" s="283"/>
      <c r="D894" s="283"/>
      <c r="E894" s="283"/>
      <c r="F894" s="283"/>
      <c r="G894" s="283"/>
      <c r="H894" s="283"/>
      <c r="I894" s="283"/>
      <c r="J894" s="283"/>
      <c r="K894" s="283"/>
      <c r="L894" s="283"/>
      <c r="M894" s="283"/>
      <c r="N894" s="283"/>
      <c r="O894" s="283"/>
      <c r="P894" s="283"/>
      <c r="Q894" s="283"/>
      <c r="R894" s="283"/>
      <c r="S894" s="283"/>
      <c r="T894" s="283"/>
      <c r="U894" s="283"/>
      <c r="V894" s="283"/>
      <c r="W894" s="283"/>
      <c r="X894" s="283"/>
    </row>
    <row r="895" spans="1:24" ht="13.5" customHeight="1" x14ac:dyDescent="0.2">
      <c r="A895" s="283"/>
      <c r="B895" s="283"/>
      <c r="C895" s="283"/>
      <c r="D895" s="283"/>
      <c r="E895" s="283"/>
      <c r="F895" s="283"/>
      <c r="G895" s="283"/>
      <c r="H895" s="283"/>
      <c r="I895" s="283"/>
      <c r="J895" s="283"/>
      <c r="K895" s="283"/>
      <c r="L895" s="283"/>
      <c r="M895" s="283"/>
      <c r="N895" s="283"/>
      <c r="O895" s="283"/>
      <c r="P895" s="283"/>
      <c r="Q895" s="283"/>
      <c r="R895" s="283"/>
      <c r="S895" s="283"/>
      <c r="T895" s="283"/>
      <c r="U895" s="283"/>
      <c r="V895" s="283"/>
      <c r="W895" s="283"/>
      <c r="X895" s="283"/>
    </row>
    <row r="896" spans="1:24" ht="13.5" customHeight="1" x14ac:dyDescent="0.2">
      <c r="A896" s="283"/>
      <c r="B896" s="283"/>
      <c r="C896" s="283"/>
      <c r="D896" s="283"/>
      <c r="E896" s="283"/>
      <c r="F896" s="283"/>
      <c r="G896" s="283"/>
      <c r="H896" s="283"/>
      <c r="I896" s="283"/>
      <c r="J896" s="283"/>
      <c r="K896" s="283"/>
      <c r="L896" s="283"/>
      <c r="M896" s="283"/>
      <c r="N896" s="283"/>
      <c r="O896" s="283"/>
      <c r="P896" s="283"/>
      <c r="Q896" s="283"/>
      <c r="R896" s="283"/>
      <c r="S896" s="283"/>
      <c r="T896" s="283"/>
      <c r="U896" s="283"/>
      <c r="V896" s="283"/>
      <c r="W896" s="283"/>
      <c r="X896" s="283"/>
    </row>
    <row r="897" spans="1:24" ht="13.5" customHeight="1" x14ac:dyDescent="0.2">
      <c r="A897" s="283"/>
      <c r="B897" s="283"/>
      <c r="C897" s="283"/>
      <c r="D897" s="283"/>
      <c r="E897" s="283"/>
      <c r="F897" s="283"/>
      <c r="G897" s="283"/>
      <c r="H897" s="283"/>
      <c r="I897" s="283"/>
      <c r="J897" s="283"/>
      <c r="K897" s="283"/>
      <c r="L897" s="283"/>
      <c r="M897" s="283"/>
      <c r="N897" s="283"/>
      <c r="O897" s="283"/>
      <c r="P897" s="283"/>
      <c r="Q897" s="283"/>
      <c r="R897" s="283"/>
      <c r="S897" s="283"/>
      <c r="T897" s="283"/>
      <c r="U897" s="283"/>
      <c r="V897" s="283"/>
      <c r="W897" s="283"/>
      <c r="X897" s="283"/>
    </row>
    <row r="898" spans="1:24" ht="13.5" customHeight="1" x14ac:dyDescent="0.2">
      <c r="A898" s="283"/>
      <c r="B898" s="283"/>
      <c r="C898" s="283"/>
      <c r="D898" s="283"/>
      <c r="E898" s="283"/>
      <c r="F898" s="283"/>
      <c r="G898" s="283"/>
      <c r="H898" s="283"/>
      <c r="I898" s="283"/>
      <c r="J898" s="283"/>
      <c r="K898" s="283"/>
      <c r="L898" s="283"/>
      <c r="M898" s="283"/>
      <c r="N898" s="283"/>
      <c r="O898" s="283"/>
      <c r="P898" s="283"/>
      <c r="Q898" s="283"/>
      <c r="R898" s="283"/>
      <c r="S898" s="283"/>
      <c r="T898" s="283"/>
      <c r="U898" s="283"/>
      <c r="V898" s="283"/>
      <c r="W898" s="283"/>
      <c r="X898" s="283"/>
    </row>
    <row r="899" spans="1:24" ht="13.5" customHeight="1" x14ac:dyDescent="0.2">
      <c r="A899" s="283"/>
      <c r="B899" s="283"/>
      <c r="C899" s="283"/>
      <c r="D899" s="283"/>
      <c r="E899" s="283"/>
      <c r="F899" s="283"/>
      <c r="G899" s="283"/>
      <c r="H899" s="283"/>
      <c r="I899" s="283"/>
      <c r="J899" s="283"/>
      <c r="K899" s="283"/>
      <c r="L899" s="283"/>
      <c r="M899" s="283"/>
      <c r="N899" s="283"/>
      <c r="O899" s="283"/>
      <c r="P899" s="283"/>
      <c r="Q899" s="283"/>
      <c r="R899" s="283"/>
      <c r="S899" s="283"/>
      <c r="T899" s="283"/>
      <c r="U899" s="283"/>
      <c r="V899" s="283"/>
      <c r="W899" s="283"/>
      <c r="X899" s="283"/>
    </row>
    <row r="900" spans="1:24" ht="13.5" customHeight="1" x14ac:dyDescent="0.2">
      <c r="A900" s="283"/>
      <c r="B900" s="283"/>
      <c r="C900" s="283"/>
      <c r="D900" s="283"/>
      <c r="E900" s="283"/>
      <c r="F900" s="283"/>
      <c r="G900" s="283"/>
      <c r="H900" s="283"/>
      <c r="I900" s="283"/>
      <c r="J900" s="283"/>
      <c r="K900" s="283"/>
      <c r="L900" s="283"/>
      <c r="M900" s="283"/>
      <c r="N900" s="283"/>
      <c r="O900" s="283"/>
      <c r="P900" s="283"/>
      <c r="Q900" s="283"/>
      <c r="R900" s="283"/>
      <c r="S900" s="283"/>
      <c r="T900" s="283"/>
      <c r="U900" s="283"/>
      <c r="V900" s="283"/>
      <c r="W900" s="283"/>
      <c r="X900" s="283"/>
    </row>
    <row r="901" spans="1:24" ht="13.5" customHeight="1" x14ac:dyDescent="0.2">
      <c r="A901" s="283"/>
      <c r="B901" s="283"/>
      <c r="C901" s="283"/>
      <c r="D901" s="283"/>
      <c r="E901" s="283"/>
      <c r="F901" s="283"/>
      <c r="G901" s="283"/>
      <c r="H901" s="283"/>
      <c r="I901" s="283"/>
      <c r="J901" s="283"/>
      <c r="K901" s="283"/>
      <c r="L901" s="283"/>
      <c r="M901" s="283"/>
      <c r="N901" s="283"/>
      <c r="O901" s="283"/>
      <c r="P901" s="283"/>
      <c r="Q901" s="283"/>
      <c r="R901" s="283"/>
      <c r="S901" s="283"/>
      <c r="T901" s="283"/>
      <c r="U901" s="283"/>
      <c r="V901" s="283"/>
      <c r="W901" s="283"/>
      <c r="X901" s="283"/>
    </row>
    <row r="902" spans="1:24" ht="13.5" customHeight="1" x14ac:dyDescent="0.2">
      <c r="A902" s="283"/>
      <c r="B902" s="283"/>
      <c r="C902" s="283"/>
      <c r="D902" s="283"/>
      <c r="E902" s="283"/>
      <c r="F902" s="283"/>
      <c r="G902" s="283"/>
      <c r="H902" s="283"/>
      <c r="I902" s="283"/>
      <c r="J902" s="283"/>
      <c r="K902" s="283"/>
      <c r="L902" s="283"/>
      <c r="M902" s="283"/>
      <c r="N902" s="283"/>
      <c r="O902" s="283"/>
      <c r="P902" s="283"/>
      <c r="Q902" s="283"/>
      <c r="R902" s="283"/>
      <c r="S902" s="283"/>
      <c r="T902" s="283"/>
      <c r="U902" s="283"/>
      <c r="V902" s="283"/>
      <c r="W902" s="283"/>
      <c r="X902" s="283"/>
    </row>
    <row r="903" spans="1:24" ht="13.5" customHeight="1" x14ac:dyDescent="0.2">
      <c r="A903" s="283"/>
      <c r="B903" s="283"/>
      <c r="C903" s="283"/>
      <c r="D903" s="283"/>
      <c r="E903" s="283"/>
      <c r="F903" s="283"/>
      <c r="G903" s="283"/>
      <c r="H903" s="283"/>
      <c r="I903" s="283"/>
      <c r="J903" s="283"/>
      <c r="K903" s="283"/>
      <c r="L903" s="283"/>
      <c r="M903" s="283"/>
      <c r="N903" s="283"/>
      <c r="O903" s="283"/>
      <c r="P903" s="283"/>
      <c r="Q903" s="283"/>
      <c r="R903" s="283"/>
      <c r="S903" s="283"/>
      <c r="T903" s="283"/>
      <c r="U903" s="283"/>
      <c r="V903" s="283"/>
      <c r="W903" s="283"/>
      <c r="X903" s="283"/>
    </row>
    <row r="904" spans="1:24" ht="13.5" customHeight="1" x14ac:dyDescent="0.2">
      <c r="A904" s="283"/>
      <c r="B904" s="283"/>
      <c r="C904" s="283"/>
      <c r="D904" s="283"/>
      <c r="E904" s="283"/>
      <c r="F904" s="283"/>
      <c r="G904" s="283"/>
      <c r="H904" s="283"/>
      <c r="I904" s="283"/>
      <c r="J904" s="283"/>
      <c r="K904" s="283"/>
      <c r="L904" s="283"/>
      <c r="M904" s="283"/>
      <c r="N904" s="283"/>
      <c r="O904" s="283"/>
      <c r="P904" s="283"/>
      <c r="Q904" s="283"/>
      <c r="R904" s="283"/>
      <c r="S904" s="283"/>
      <c r="T904" s="283"/>
      <c r="U904" s="283"/>
      <c r="V904" s="283"/>
      <c r="W904" s="283"/>
      <c r="X904" s="283"/>
    </row>
    <row r="905" spans="1:24" ht="13.5" customHeight="1" x14ac:dyDescent="0.2">
      <c r="A905" s="283"/>
      <c r="B905" s="283"/>
      <c r="C905" s="283"/>
      <c r="D905" s="283"/>
      <c r="E905" s="283"/>
      <c r="F905" s="283"/>
      <c r="G905" s="283"/>
      <c r="H905" s="283"/>
      <c r="I905" s="283"/>
      <c r="J905" s="283"/>
      <c r="K905" s="283"/>
      <c r="L905" s="283"/>
      <c r="M905" s="283"/>
      <c r="N905" s="283"/>
      <c r="O905" s="283"/>
      <c r="P905" s="283"/>
      <c r="Q905" s="283"/>
      <c r="R905" s="283"/>
      <c r="S905" s="283"/>
      <c r="T905" s="283"/>
      <c r="U905" s="283"/>
      <c r="V905" s="283"/>
      <c r="W905" s="283"/>
      <c r="X905" s="283"/>
    </row>
    <row r="906" spans="1:24" ht="13.5" customHeight="1" x14ac:dyDescent="0.2">
      <c r="A906" s="283"/>
      <c r="B906" s="283"/>
      <c r="C906" s="283"/>
      <c r="D906" s="283"/>
      <c r="E906" s="283"/>
      <c r="F906" s="283"/>
      <c r="G906" s="283"/>
      <c r="H906" s="283"/>
      <c r="I906" s="283"/>
      <c r="J906" s="283"/>
      <c r="K906" s="283"/>
      <c r="L906" s="283"/>
      <c r="M906" s="283"/>
      <c r="N906" s="283"/>
      <c r="O906" s="283"/>
      <c r="P906" s="283"/>
      <c r="Q906" s="283"/>
      <c r="R906" s="283"/>
      <c r="S906" s="283"/>
      <c r="T906" s="283"/>
      <c r="U906" s="283"/>
      <c r="V906" s="283"/>
      <c r="W906" s="283"/>
      <c r="X906" s="283"/>
    </row>
    <row r="907" spans="1:24" ht="13.5" customHeight="1" x14ac:dyDescent="0.2">
      <c r="A907" s="283"/>
      <c r="B907" s="283"/>
      <c r="C907" s="283"/>
      <c r="D907" s="283"/>
      <c r="E907" s="283"/>
      <c r="F907" s="283"/>
      <c r="G907" s="283"/>
      <c r="H907" s="283"/>
      <c r="I907" s="283"/>
      <c r="J907" s="283"/>
      <c r="K907" s="283"/>
      <c r="L907" s="283"/>
      <c r="M907" s="283"/>
      <c r="N907" s="283"/>
      <c r="O907" s="283"/>
      <c r="P907" s="283"/>
      <c r="Q907" s="283"/>
      <c r="R907" s="283"/>
      <c r="S907" s="283"/>
      <c r="T907" s="283"/>
      <c r="U907" s="283"/>
      <c r="V907" s="283"/>
      <c r="W907" s="283"/>
      <c r="X907" s="283"/>
    </row>
    <row r="908" spans="1:24" ht="13.5" customHeight="1" x14ac:dyDescent="0.2">
      <c r="A908" s="283"/>
      <c r="B908" s="283"/>
      <c r="C908" s="283"/>
      <c r="D908" s="283"/>
      <c r="E908" s="283"/>
      <c r="F908" s="283"/>
      <c r="G908" s="283"/>
      <c r="H908" s="283"/>
      <c r="I908" s="283"/>
      <c r="J908" s="283"/>
      <c r="K908" s="283"/>
      <c r="L908" s="283"/>
      <c r="M908" s="283"/>
      <c r="N908" s="283"/>
      <c r="O908" s="283"/>
      <c r="P908" s="283"/>
      <c r="Q908" s="283"/>
      <c r="R908" s="283"/>
      <c r="S908" s="283"/>
      <c r="T908" s="283"/>
      <c r="U908" s="283"/>
      <c r="V908" s="283"/>
      <c r="W908" s="283"/>
      <c r="X908" s="283"/>
    </row>
    <row r="909" spans="1:24" ht="13.5" customHeight="1" x14ac:dyDescent="0.2">
      <c r="A909" s="283"/>
      <c r="B909" s="283"/>
      <c r="C909" s="283"/>
      <c r="D909" s="283"/>
      <c r="E909" s="283"/>
      <c r="F909" s="283"/>
      <c r="G909" s="283"/>
      <c r="H909" s="283"/>
      <c r="I909" s="283"/>
      <c r="J909" s="283"/>
      <c r="K909" s="283"/>
      <c r="L909" s="283"/>
      <c r="M909" s="283"/>
      <c r="N909" s="283"/>
      <c r="O909" s="283"/>
      <c r="P909" s="283"/>
      <c r="Q909" s="283"/>
      <c r="R909" s="283"/>
      <c r="S909" s="283"/>
      <c r="T909" s="283"/>
      <c r="U909" s="283"/>
      <c r="V909" s="283"/>
      <c r="W909" s="283"/>
      <c r="X909" s="283"/>
    </row>
    <row r="910" spans="1:24" ht="13.5" customHeight="1" x14ac:dyDescent="0.2">
      <c r="A910" s="283"/>
      <c r="B910" s="283"/>
      <c r="C910" s="283"/>
      <c r="D910" s="283"/>
      <c r="E910" s="283"/>
      <c r="F910" s="283"/>
      <c r="G910" s="283"/>
      <c r="H910" s="283"/>
      <c r="I910" s="283"/>
      <c r="J910" s="283"/>
      <c r="K910" s="283"/>
      <c r="L910" s="283"/>
      <c r="M910" s="283"/>
      <c r="N910" s="283"/>
      <c r="O910" s="283"/>
      <c r="P910" s="283"/>
      <c r="Q910" s="283"/>
      <c r="R910" s="283"/>
      <c r="S910" s="283"/>
      <c r="T910" s="283"/>
      <c r="U910" s="283"/>
      <c r="V910" s="283"/>
      <c r="W910" s="283"/>
      <c r="X910" s="283"/>
    </row>
    <row r="911" spans="1:24" ht="13.5" customHeight="1" x14ac:dyDescent="0.2">
      <c r="A911" s="283"/>
      <c r="B911" s="283"/>
      <c r="C911" s="283"/>
      <c r="D911" s="283"/>
      <c r="E911" s="283"/>
      <c r="F911" s="283"/>
      <c r="G911" s="283"/>
      <c r="H911" s="283"/>
      <c r="I911" s="283"/>
      <c r="J911" s="283"/>
      <c r="K911" s="283"/>
      <c r="L911" s="283"/>
      <c r="M911" s="283"/>
      <c r="N911" s="283"/>
      <c r="O911" s="283"/>
      <c r="P911" s="283"/>
      <c r="Q911" s="283"/>
      <c r="R911" s="283"/>
      <c r="S911" s="283"/>
      <c r="T911" s="283"/>
      <c r="U911" s="283"/>
      <c r="V911" s="283"/>
      <c r="W911" s="283"/>
      <c r="X911" s="283"/>
    </row>
    <row r="912" spans="1:24" ht="13.5" customHeight="1" x14ac:dyDescent="0.2">
      <c r="A912" s="283"/>
      <c r="B912" s="283"/>
      <c r="C912" s="283"/>
      <c r="D912" s="283"/>
      <c r="E912" s="283"/>
      <c r="F912" s="283"/>
      <c r="G912" s="283"/>
      <c r="H912" s="283"/>
      <c r="I912" s="283"/>
      <c r="J912" s="283"/>
      <c r="K912" s="283"/>
      <c r="L912" s="283"/>
      <c r="M912" s="283"/>
      <c r="N912" s="283"/>
      <c r="O912" s="283"/>
      <c r="P912" s="283"/>
      <c r="Q912" s="283"/>
      <c r="R912" s="283"/>
      <c r="S912" s="283"/>
      <c r="T912" s="283"/>
      <c r="U912" s="283"/>
      <c r="V912" s="283"/>
      <c r="W912" s="283"/>
      <c r="X912" s="283"/>
    </row>
    <row r="913" spans="1:24" ht="13.5" customHeight="1" x14ac:dyDescent="0.2">
      <c r="A913" s="283"/>
      <c r="B913" s="283"/>
      <c r="C913" s="283"/>
      <c r="D913" s="283"/>
      <c r="E913" s="283"/>
      <c r="F913" s="283"/>
      <c r="G913" s="283"/>
      <c r="H913" s="283"/>
      <c r="I913" s="283"/>
      <c r="J913" s="283"/>
      <c r="K913" s="283"/>
      <c r="L913" s="283"/>
      <c r="M913" s="283"/>
      <c r="N913" s="283"/>
      <c r="O913" s="283"/>
      <c r="P913" s="283"/>
      <c r="Q913" s="283"/>
      <c r="R913" s="283"/>
      <c r="S913" s="283"/>
      <c r="T913" s="283"/>
      <c r="U913" s="283"/>
      <c r="V913" s="283"/>
      <c r="W913" s="283"/>
      <c r="X913" s="283"/>
    </row>
    <row r="914" spans="1:24" ht="13.5" customHeight="1" x14ac:dyDescent="0.2">
      <c r="A914" s="283"/>
      <c r="B914" s="283"/>
      <c r="C914" s="283"/>
      <c r="D914" s="283"/>
      <c r="E914" s="283"/>
      <c r="F914" s="283"/>
      <c r="G914" s="283"/>
      <c r="H914" s="283"/>
      <c r="I914" s="283"/>
      <c r="J914" s="283"/>
      <c r="K914" s="283"/>
      <c r="L914" s="283"/>
      <c r="M914" s="283"/>
      <c r="N914" s="283"/>
      <c r="O914" s="283"/>
      <c r="P914" s="283"/>
      <c r="Q914" s="283"/>
      <c r="R914" s="283"/>
      <c r="S914" s="283"/>
      <c r="T914" s="283"/>
      <c r="U914" s="283"/>
      <c r="V914" s="283"/>
      <c r="W914" s="283"/>
      <c r="X914" s="283"/>
    </row>
    <row r="915" spans="1:24" ht="13.5" customHeight="1" x14ac:dyDescent="0.2">
      <c r="A915" s="283"/>
      <c r="B915" s="283"/>
      <c r="C915" s="283"/>
      <c r="D915" s="283"/>
      <c r="E915" s="283"/>
      <c r="F915" s="283"/>
      <c r="G915" s="283"/>
      <c r="H915" s="283"/>
      <c r="I915" s="283"/>
      <c r="J915" s="283"/>
      <c r="K915" s="283"/>
      <c r="L915" s="283"/>
      <c r="M915" s="283"/>
      <c r="N915" s="283"/>
      <c r="O915" s="283"/>
      <c r="P915" s="283"/>
      <c r="Q915" s="283"/>
      <c r="R915" s="283"/>
      <c r="S915" s="283"/>
      <c r="T915" s="283"/>
      <c r="U915" s="283"/>
      <c r="V915" s="283"/>
      <c r="W915" s="283"/>
      <c r="X915" s="283"/>
    </row>
    <row r="916" spans="1:24" ht="13.5" customHeight="1" x14ac:dyDescent="0.2">
      <c r="A916" s="283"/>
      <c r="B916" s="283"/>
      <c r="C916" s="283"/>
      <c r="D916" s="283"/>
      <c r="E916" s="283"/>
      <c r="F916" s="283"/>
      <c r="G916" s="283"/>
      <c r="H916" s="283"/>
      <c r="I916" s="283"/>
      <c r="J916" s="283"/>
      <c r="K916" s="283"/>
      <c r="L916" s="283"/>
      <c r="M916" s="283"/>
      <c r="N916" s="283"/>
      <c r="O916" s="283"/>
      <c r="P916" s="283"/>
      <c r="Q916" s="283"/>
      <c r="R916" s="283"/>
      <c r="S916" s="283"/>
      <c r="T916" s="283"/>
      <c r="U916" s="283"/>
      <c r="V916" s="283"/>
      <c r="W916" s="283"/>
      <c r="X916" s="283"/>
    </row>
    <row r="917" spans="1:24" ht="13.5" customHeight="1" x14ac:dyDescent="0.2">
      <c r="A917" s="283"/>
      <c r="B917" s="283"/>
      <c r="C917" s="283"/>
      <c r="D917" s="283"/>
      <c r="E917" s="283"/>
      <c r="F917" s="283"/>
      <c r="G917" s="283"/>
      <c r="H917" s="283"/>
      <c r="I917" s="283"/>
      <c r="J917" s="283"/>
      <c r="K917" s="283"/>
      <c r="L917" s="283"/>
      <c r="M917" s="283"/>
      <c r="N917" s="283"/>
      <c r="O917" s="283"/>
      <c r="P917" s="283"/>
      <c r="Q917" s="283"/>
      <c r="R917" s="283"/>
      <c r="S917" s="283"/>
      <c r="T917" s="283"/>
      <c r="U917" s="283"/>
      <c r="V917" s="283"/>
      <c r="W917" s="283"/>
      <c r="X917" s="283"/>
    </row>
    <row r="918" spans="1:24" ht="13.5" customHeight="1" x14ac:dyDescent="0.2">
      <c r="A918" s="283"/>
      <c r="B918" s="283"/>
      <c r="C918" s="283"/>
      <c r="D918" s="283"/>
      <c r="E918" s="283"/>
      <c r="F918" s="283"/>
      <c r="G918" s="283"/>
      <c r="H918" s="283"/>
      <c r="I918" s="283"/>
      <c r="J918" s="283"/>
      <c r="K918" s="283"/>
      <c r="L918" s="283"/>
      <c r="M918" s="283"/>
      <c r="N918" s="283"/>
      <c r="O918" s="283"/>
      <c r="P918" s="283"/>
      <c r="Q918" s="283"/>
      <c r="R918" s="283"/>
      <c r="S918" s="283"/>
      <c r="T918" s="283"/>
      <c r="U918" s="283"/>
      <c r="V918" s="283"/>
      <c r="W918" s="283"/>
      <c r="X918" s="283"/>
    </row>
    <row r="919" spans="1:24" ht="13.5" customHeight="1" x14ac:dyDescent="0.2">
      <c r="A919" s="283"/>
      <c r="B919" s="283"/>
      <c r="C919" s="283"/>
      <c r="D919" s="283"/>
      <c r="E919" s="283"/>
      <c r="F919" s="283"/>
      <c r="G919" s="283"/>
      <c r="H919" s="283"/>
      <c r="I919" s="283"/>
      <c r="J919" s="283"/>
      <c r="K919" s="283"/>
      <c r="L919" s="283"/>
      <c r="M919" s="283"/>
      <c r="N919" s="283"/>
      <c r="O919" s="283"/>
      <c r="P919" s="283"/>
      <c r="Q919" s="283"/>
      <c r="R919" s="283"/>
      <c r="S919" s="283"/>
      <c r="T919" s="283"/>
      <c r="U919" s="283"/>
      <c r="V919" s="283"/>
      <c r="W919" s="283"/>
      <c r="X919" s="283"/>
    </row>
    <row r="920" spans="1:24" ht="13.5" customHeight="1" x14ac:dyDescent="0.2">
      <c r="A920" s="283"/>
      <c r="B920" s="283"/>
      <c r="C920" s="283"/>
      <c r="D920" s="283"/>
      <c r="E920" s="283"/>
      <c r="F920" s="283"/>
      <c r="G920" s="283"/>
      <c r="H920" s="283"/>
      <c r="I920" s="283"/>
      <c r="J920" s="283"/>
      <c r="K920" s="283"/>
      <c r="L920" s="283"/>
      <c r="M920" s="283"/>
      <c r="N920" s="283"/>
      <c r="O920" s="283"/>
      <c r="P920" s="283"/>
      <c r="Q920" s="283"/>
      <c r="R920" s="283"/>
      <c r="S920" s="283"/>
      <c r="T920" s="283"/>
      <c r="U920" s="283"/>
      <c r="V920" s="283"/>
      <c r="W920" s="283"/>
      <c r="X920" s="283"/>
    </row>
    <row r="921" spans="1:24" ht="13.5" customHeight="1" x14ac:dyDescent="0.2">
      <c r="A921" s="283"/>
      <c r="B921" s="283"/>
      <c r="C921" s="283"/>
      <c r="D921" s="283"/>
      <c r="E921" s="283"/>
      <c r="F921" s="283"/>
      <c r="G921" s="283"/>
      <c r="H921" s="283"/>
      <c r="I921" s="283"/>
      <c r="J921" s="283"/>
      <c r="K921" s="283"/>
      <c r="L921" s="283"/>
      <c r="M921" s="283"/>
      <c r="N921" s="283"/>
      <c r="O921" s="283"/>
      <c r="P921" s="283"/>
      <c r="Q921" s="283"/>
      <c r="R921" s="283"/>
      <c r="S921" s="283"/>
      <c r="T921" s="283"/>
      <c r="U921" s="283"/>
      <c r="V921" s="283"/>
      <c r="W921" s="283"/>
      <c r="X921" s="283"/>
    </row>
    <row r="922" spans="1:24" ht="13.5" customHeight="1" x14ac:dyDescent="0.2">
      <c r="A922" s="283"/>
      <c r="B922" s="283"/>
      <c r="C922" s="283"/>
      <c r="D922" s="283"/>
      <c r="E922" s="283"/>
      <c r="F922" s="283"/>
      <c r="G922" s="283"/>
      <c r="H922" s="283"/>
      <c r="I922" s="283"/>
      <c r="J922" s="283"/>
      <c r="K922" s="283"/>
      <c r="L922" s="283"/>
      <c r="M922" s="283"/>
      <c r="N922" s="283"/>
      <c r="O922" s="283"/>
      <c r="P922" s="283"/>
      <c r="Q922" s="283"/>
      <c r="R922" s="283"/>
      <c r="S922" s="283"/>
      <c r="T922" s="283"/>
      <c r="U922" s="283"/>
      <c r="V922" s="283"/>
      <c r="W922" s="283"/>
      <c r="X922" s="283"/>
    </row>
    <row r="923" spans="1:24" ht="13.5" customHeight="1" x14ac:dyDescent="0.2">
      <c r="A923" s="283"/>
      <c r="B923" s="283"/>
      <c r="C923" s="283"/>
      <c r="D923" s="283"/>
      <c r="E923" s="283"/>
      <c r="F923" s="283"/>
      <c r="G923" s="283"/>
      <c r="H923" s="283"/>
      <c r="I923" s="283"/>
      <c r="J923" s="283"/>
      <c r="K923" s="283"/>
      <c r="L923" s="283"/>
      <c r="M923" s="283"/>
      <c r="N923" s="283"/>
      <c r="O923" s="283"/>
      <c r="P923" s="283"/>
      <c r="Q923" s="283"/>
      <c r="R923" s="283"/>
      <c r="S923" s="283"/>
      <c r="T923" s="283"/>
      <c r="U923" s="283"/>
      <c r="V923" s="283"/>
      <c r="W923" s="283"/>
      <c r="X923" s="283"/>
    </row>
    <row r="924" spans="1:24" ht="13.5" customHeight="1" x14ac:dyDescent="0.2">
      <c r="A924" s="283"/>
      <c r="B924" s="283"/>
      <c r="C924" s="283"/>
      <c r="D924" s="283"/>
      <c r="E924" s="283"/>
      <c r="F924" s="283"/>
      <c r="G924" s="283"/>
      <c r="H924" s="283"/>
      <c r="I924" s="283"/>
      <c r="J924" s="283"/>
      <c r="K924" s="283"/>
      <c r="L924" s="283"/>
      <c r="M924" s="283"/>
      <c r="N924" s="283"/>
      <c r="O924" s="283"/>
      <c r="P924" s="283"/>
      <c r="Q924" s="283"/>
      <c r="R924" s="283"/>
      <c r="S924" s="283"/>
      <c r="T924" s="283"/>
      <c r="U924" s="283"/>
      <c r="V924" s="283"/>
      <c r="W924" s="283"/>
      <c r="X924" s="283"/>
    </row>
    <row r="925" spans="1:24" ht="13.5" customHeight="1" x14ac:dyDescent="0.2">
      <c r="A925" s="283"/>
      <c r="B925" s="283"/>
      <c r="C925" s="283"/>
      <c r="D925" s="283"/>
      <c r="E925" s="283"/>
      <c r="F925" s="283"/>
      <c r="G925" s="283"/>
      <c r="H925" s="283"/>
      <c r="I925" s="283"/>
      <c r="J925" s="283"/>
      <c r="K925" s="283"/>
      <c r="L925" s="283"/>
      <c r="M925" s="283"/>
      <c r="N925" s="283"/>
      <c r="O925" s="283"/>
      <c r="P925" s="283"/>
      <c r="Q925" s="283"/>
      <c r="R925" s="283"/>
      <c r="S925" s="283"/>
      <c r="T925" s="283"/>
      <c r="U925" s="283"/>
      <c r="V925" s="283"/>
      <c r="W925" s="283"/>
      <c r="X925" s="283"/>
    </row>
    <row r="926" spans="1:24" ht="13.5" customHeight="1" x14ac:dyDescent="0.2">
      <c r="A926" s="283"/>
      <c r="B926" s="283"/>
      <c r="C926" s="283"/>
      <c r="D926" s="283"/>
      <c r="E926" s="283"/>
      <c r="F926" s="283"/>
      <c r="G926" s="283"/>
      <c r="H926" s="283"/>
      <c r="I926" s="283"/>
      <c r="J926" s="283"/>
      <c r="K926" s="283"/>
      <c r="L926" s="283"/>
      <c r="M926" s="283"/>
      <c r="N926" s="283"/>
      <c r="O926" s="283"/>
      <c r="P926" s="283"/>
      <c r="Q926" s="283"/>
      <c r="R926" s="283"/>
      <c r="S926" s="283"/>
      <c r="T926" s="283"/>
      <c r="U926" s="283"/>
      <c r="V926" s="283"/>
      <c r="W926" s="283"/>
      <c r="X926" s="283"/>
    </row>
    <row r="927" spans="1:24" ht="13.5" customHeight="1" x14ac:dyDescent="0.2">
      <c r="A927" s="283"/>
      <c r="B927" s="283"/>
      <c r="C927" s="283"/>
      <c r="D927" s="283"/>
      <c r="E927" s="283"/>
      <c r="F927" s="283"/>
      <c r="G927" s="283"/>
      <c r="H927" s="283"/>
      <c r="I927" s="283"/>
      <c r="J927" s="283"/>
      <c r="K927" s="283"/>
      <c r="L927" s="283"/>
      <c r="M927" s="283"/>
      <c r="N927" s="283"/>
      <c r="O927" s="283"/>
      <c r="P927" s="283"/>
      <c r="Q927" s="283"/>
      <c r="R927" s="283"/>
      <c r="S927" s="283"/>
      <c r="T927" s="283"/>
      <c r="U927" s="283"/>
      <c r="V927" s="283"/>
      <c r="W927" s="283"/>
      <c r="X927" s="283"/>
    </row>
    <row r="928" spans="1:24" ht="13.5" customHeight="1" x14ac:dyDescent="0.2">
      <c r="A928" s="283"/>
      <c r="B928" s="283"/>
      <c r="C928" s="283"/>
      <c r="D928" s="283"/>
      <c r="E928" s="283"/>
      <c r="F928" s="283"/>
      <c r="G928" s="283"/>
      <c r="H928" s="283"/>
      <c r="I928" s="283"/>
      <c r="J928" s="283"/>
      <c r="K928" s="283"/>
      <c r="L928" s="283"/>
      <c r="M928" s="283"/>
      <c r="N928" s="283"/>
      <c r="O928" s="283"/>
      <c r="P928" s="283"/>
      <c r="Q928" s="283"/>
      <c r="R928" s="283"/>
      <c r="S928" s="283"/>
      <c r="T928" s="283"/>
      <c r="U928" s="283"/>
      <c r="V928" s="283"/>
      <c r="W928" s="283"/>
      <c r="X928" s="283"/>
    </row>
    <row r="929" spans="1:24" ht="13.5" customHeight="1" x14ac:dyDescent="0.2">
      <c r="A929" s="283"/>
      <c r="B929" s="283"/>
      <c r="C929" s="283"/>
      <c r="D929" s="283"/>
      <c r="E929" s="283"/>
      <c r="F929" s="283"/>
      <c r="G929" s="283"/>
      <c r="H929" s="283"/>
      <c r="I929" s="283"/>
      <c r="J929" s="283"/>
      <c r="K929" s="283"/>
      <c r="L929" s="283"/>
      <c r="M929" s="283"/>
      <c r="N929" s="283"/>
      <c r="O929" s="283"/>
      <c r="P929" s="283"/>
      <c r="Q929" s="283"/>
      <c r="R929" s="283"/>
      <c r="S929" s="283"/>
      <c r="T929" s="283"/>
      <c r="U929" s="283"/>
      <c r="V929" s="283"/>
      <c r="W929" s="283"/>
      <c r="X929" s="283"/>
    </row>
    <row r="930" spans="1:24" ht="13.5" customHeight="1" x14ac:dyDescent="0.2">
      <c r="A930" s="283"/>
      <c r="B930" s="283"/>
      <c r="C930" s="283"/>
      <c r="D930" s="283"/>
      <c r="E930" s="283"/>
      <c r="F930" s="283"/>
      <c r="G930" s="283"/>
      <c r="H930" s="283"/>
      <c r="I930" s="283"/>
      <c r="J930" s="283"/>
      <c r="K930" s="283"/>
      <c r="L930" s="283"/>
      <c r="M930" s="283"/>
      <c r="N930" s="283"/>
      <c r="O930" s="283"/>
      <c r="P930" s="283"/>
      <c r="Q930" s="283"/>
      <c r="R930" s="283"/>
      <c r="S930" s="283"/>
      <c r="T930" s="283"/>
      <c r="U930" s="283"/>
      <c r="V930" s="283"/>
      <c r="W930" s="283"/>
      <c r="X930" s="283"/>
    </row>
    <row r="931" spans="1:24" ht="13.5" customHeight="1" x14ac:dyDescent="0.2">
      <c r="A931" s="283"/>
      <c r="B931" s="283"/>
      <c r="C931" s="283"/>
      <c r="D931" s="283"/>
      <c r="E931" s="283"/>
      <c r="F931" s="283"/>
      <c r="G931" s="283"/>
      <c r="H931" s="283"/>
      <c r="I931" s="283"/>
      <c r="J931" s="283"/>
      <c r="K931" s="283"/>
      <c r="L931" s="283"/>
      <c r="M931" s="283"/>
      <c r="N931" s="283"/>
      <c r="O931" s="283"/>
      <c r="P931" s="283"/>
      <c r="Q931" s="283"/>
      <c r="R931" s="283"/>
      <c r="S931" s="283"/>
      <c r="T931" s="283"/>
      <c r="U931" s="283"/>
      <c r="V931" s="283"/>
      <c r="W931" s="283"/>
      <c r="X931" s="283"/>
    </row>
    <row r="932" spans="1:24" ht="13.5" customHeight="1" x14ac:dyDescent="0.2">
      <c r="A932" s="283"/>
      <c r="B932" s="283"/>
      <c r="C932" s="283"/>
      <c r="D932" s="283"/>
      <c r="E932" s="283"/>
      <c r="F932" s="283"/>
      <c r="G932" s="283"/>
      <c r="H932" s="283"/>
      <c r="I932" s="283"/>
      <c r="J932" s="283"/>
      <c r="K932" s="283"/>
      <c r="L932" s="283"/>
      <c r="M932" s="283"/>
      <c r="N932" s="283"/>
      <c r="O932" s="283"/>
      <c r="P932" s="283"/>
      <c r="Q932" s="283"/>
      <c r="R932" s="283"/>
      <c r="S932" s="283"/>
      <c r="T932" s="283"/>
      <c r="U932" s="283"/>
      <c r="V932" s="283"/>
      <c r="W932" s="283"/>
      <c r="X932" s="283"/>
    </row>
    <row r="933" spans="1:24" ht="13.5" customHeight="1" x14ac:dyDescent="0.2">
      <c r="A933" s="283"/>
      <c r="B933" s="283"/>
      <c r="C933" s="283"/>
      <c r="D933" s="283"/>
      <c r="E933" s="283"/>
      <c r="F933" s="283"/>
      <c r="G933" s="283"/>
      <c r="H933" s="283"/>
      <c r="I933" s="283"/>
      <c r="J933" s="283"/>
      <c r="K933" s="283"/>
      <c r="L933" s="283"/>
      <c r="M933" s="283"/>
      <c r="N933" s="283"/>
      <c r="O933" s="283"/>
      <c r="P933" s="283"/>
      <c r="Q933" s="283"/>
      <c r="R933" s="283"/>
      <c r="S933" s="283"/>
      <c r="T933" s="283"/>
      <c r="U933" s="283"/>
      <c r="V933" s="283"/>
      <c r="W933" s="283"/>
      <c r="X933" s="283"/>
    </row>
    <row r="934" spans="1:24" ht="13.5" customHeight="1" x14ac:dyDescent="0.2">
      <c r="A934" s="283"/>
      <c r="B934" s="283"/>
      <c r="C934" s="283"/>
      <c r="D934" s="283"/>
      <c r="E934" s="283"/>
      <c r="F934" s="283"/>
      <c r="G934" s="283"/>
      <c r="H934" s="283"/>
      <c r="I934" s="283"/>
      <c r="J934" s="283"/>
      <c r="K934" s="283"/>
      <c r="L934" s="283"/>
      <c r="M934" s="283"/>
      <c r="N934" s="283"/>
      <c r="O934" s="283"/>
      <c r="P934" s="283"/>
      <c r="Q934" s="283"/>
      <c r="R934" s="283"/>
      <c r="S934" s="283"/>
      <c r="T934" s="283"/>
      <c r="U934" s="283"/>
      <c r="V934" s="283"/>
      <c r="W934" s="283"/>
      <c r="X934" s="283"/>
    </row>
    <row r="935" spans="1:24" ht="13.5" customHeight="1" x14ac:dyDescent="0.2">
      <c r="A935" s="283"/>
      <c r="B935" s="283"/>
      <c r="C935" s="283"/>
      <c r="D935" s="283"/>
      <c r="E935" s="283"/>
      <c r="F935" s="283"/>
      <c r="G935" s="283"/>
      <c r="H935" s="283"/>
      <c r="I935" s="283"/>
      <c r="J935" s="283"/>
      <c r="K935" s="283"/>
      <c r="L935" s="283"/>
      <c r="M935" s="283"/>
      <c r="N935" s="283"/>
      <c r="O935" s="283"/>
      <c r="P935" s="283"/>
      <c r="Q935" s="283"/>
      <c r="R935" s="283"/>
      <c r="S935" s="283"/>
      <c r="T935" s="283"/>
      <c r="U935" s="283"/>
      <c r="V935" s="283"/>
      <c r="W935" s="283"/>
      <c r="X935" s="283"/>
    </row>
    <row r="936" spans="1:24" ht="13.5" customHeight="1" x14ac:dyDescent="0.2">
      <c r="A936" s="283"/>
      <c r="B936" s="283"/>
      <c r="C936" s="283"/>
      <c r="D936" s="283"/>
      <c r="E936" s="283"/>
      <c r="F936" s="283"/>
      <c r="G936" s="283"/>
      <c r="H936" s="283"/>
      <c r="I936" s="283"/>
      <c r="J936" s="283"/>
      <c r="K936" s="283"/>
      <c r="L936" s="283"/>
      <c r="M936" s="283"/>
      <c r="N936" s="283"/>
      <c r="O936" s="283"/>
      <c r="P936" s="283"/>
      <c r="Q936" s="283"/>
      <c r="R936" s="283"/>
      <c r="S936" s="283"/>
      <c r="T936" s="283"/>
      <c r="U936" s="283"/>
      <c r="V936" s="283"/>
      <c r="W936" s="283"/>
      <c r="X936" s="283"/>
    </row>
    <row r="937" spans="1:24" ht="13.5" customHeight="1" x14ac:dyDescent="0.2">
      <c r="A937" s="283"/>
      <c r="B937" s="283"/>
      <c r="C937" s="283"/>
      <c r="D937" s="283"/>
      <c r="E937" s="283"/>
      <c r="F937" s="283"/>
      <c r="G937" s="283"/>
      <c r="H937" s="283"/>
      <c r="I937" s="283"/>
      <c r="J937" s="283"/>
      <c r="K937" s="283"/>
      <c r="L937" s="283"/>
      <c r="M937" s="283"/>
      <c r="N937" s="283"/>
      <c r="O937" s="283"/>
      <c r="P937" s="283"/>
      <c r="Q937" s="283"/>
      <c r="R937" s="283"/>
      <c r="S937" s="283"/>
      <c r="T937" s="283"/>
      <c r="U937" s="283"/>
      <c r="V937" s="283"/>
      <c r="W937" s="283"/>
      <c r="X937" s="283"/>
    </row>
    <row r="938" spans="1:24" ht="13.5" customHeight="1" x14ac:dyDescent="0.2">
      <c r="A938" s="283"/>
      <c r="B938" s="283"/>
      <c r="C938" s="283"/>
      <c r="D938" s="283"/>
      <c r="E938" s="283"/>
      <c r="F938" s="283"/>
      <c r="G938" s="283"/>
      <c r="H938" s="283"/>
      <c r="I938" s="283"/>
      <c r="J938" s="283"/>
      <c r="K938" s="283"/>
      <c r="L938" s="283"/>
      <c r="M938" s="283"/>
      <c r="N938" s="283"/>
      <c r="O938" s="283"/>
      <c r="P938" s="283"/>
      <c r="Q938" s="283"/>
      <c r="R938" s="283"/>
      <c r="S938" s="283"/>
      <c r="T938" s="283"/>
      <c r="U938" s="283"/>
      <c r="V938" s="283"/>
      <c r="W938" s="283"/>
      <c r="X938" s="283"/>
    </row>
    <row r="939" spans="1:24" ht="13.5" customHeight="1" x14ac:dyDescent="0.2">
      <c r="A939" s="283"/>
      <c r="B939" s="283"/>
      <c r="C939" s="283"/>
      <c r="D939" s="283"/>
      <c r="E939" s="283"/>
      <c r="F939" s="283"/>
      <c r="G939" s="283"/>
      <c r="H939" s="283"/>
      <c r="I939" s="283"/>
      <c r="J939" s="283"/>
      <c r="K939" s="283"/>
      <c r="L939" s="283"/>
      <c r="M939" s="283"/>
      <c r="N939" s="283"/>
      <c r="O939" s="283"/>
      <c r="P939" s="283"/>
      <c r="Q939" s="283"/>
      <c r="R939" s="283"/>
      <c r="S939" s="283"/>
      <c r="T939" s="283"/>
      <c r="U939" s="283"/>
      <c r="V939" s="283"/>
      <c r="W939" s="283"/>
      <c r="X939" s="283"/>
    </row>
    <row r="940" spans="1:24" ht="13.5" customHeight="1" x14ac:dyDescent="0.2">
      <c r="A940" s="283"/>
      <c r="B940" s="283"/>
      <c r="C940" s="283"/>
      <c r="D940" s="283"/>
      <c r="E940" s="283"/>
      <c r="F940" s="283"/>
      <c r="G940" s="283"/>
      <c r="H940" s="283"/>
      <c r="I940" s="283"/>
      <c r="J940" s="283"/>
      <c r="K940" s="283"/>
      <c r="L940" s="283"/>
      <c r="M940" s="283"/>
      <c r="N940" s="283"/>
      <c r="O940" s="283"/>
      <c r="P940" s="283"/>
      <c r="Q940" s="283"/>
      <c r="R940" s="283"/>
      <c r="S940" s="283"/>
      <c r="T940" s="283"/>
      <c r="U940" s="283"/>
      <c r="V940" s="283"/>
      <c r="W940" s="283"/>
      <c r="X940" s="283"/>
    </row>
    <row r="941" spans="1:24" ht="13.5" customHeight="1" x14ac:dyDescent="0.2">
      <c r="A941" s="283"/>
      <c r="B941" s="283"/>
      <c r="C941" s="283"/>
      <c r="D941" s="283"/>
      <c r="E941" s="283"/>
      <c r="F941" s="283"/>
      <c r="G941" s="283"/>
      <c r="H941" s="283"/>
      <c r="I941" s="283"/>
      <c r="J941" s="283"/>
      <c r="K941" s="283"/>
      <c r="L941" s="283"/>
      <c r="M941" s="283"/>
      <c r="N941" s="283"/>
      <c r="O941" s="283"/>
      <c r="P941" s="283"/>
      <c r="Q941" s="283"/>
      <c r="R941" s="283"/>
      <c r="S941" s="283"/>
      <c r="T941" s="283"/>
      <c r="U941" s="283"/>
      <c r="V941" s="283"/>
      <c r="W941" s="283"/>
      <c r="X941" s="283"/>
    </row>
    <row r="942" spans="1:24" ht="13.5" customHeight="1" x14ac:dyDescent="0.2">
      <c r="A942" s="283"/>
      <c r="B942" s="283"/>
      <c r="C942" s="283"/>
      <c r="D942" s="283"/>
      <c r="E942" s="283"/>
      <c r="F942" s="283"/>
      <c r="G942" s="283"/>
      <c r="H942" s="283"/>
      <c r="I942" s="283"/>
      <c r="J942" s="283"/>
      <c r="K942" s="283"/>
      <c r="L942" s="283"/>
      <c r="M942" s="283"/>
      <c r="N942" s="283"/>
      <c r="O942" s="283"/>
      <c r="P942" s="283"/>
      <c r="Q942" s="283"/>
      <c r="R942" s="283"/>
      <c r="S942" s="283"/>
      <c r="T942" s="283"/>
      <c r="U942" s="283"/>
      <c r="V942" s="283"/>
      <c r="W942" s="283"/>
      <c r="X942" s="283"/>
    </row>
    <row r="943" spans="1:24" ht="13.5" customHeight="1" x14ac:dyDescent="0.2">
      <c r="A943" s="283"/>
      <c r="B943" s="283"/>
      <c r="C943" s="283"/>
      <c r="D943" s="283"/>
      <c r="E943" s="283"/>
      <c r="F943" s="283"/>
      <c r="G943" s="283"/>
      <c r="H943" s="283"/>
      <c r="I943" s="283"/>
      <c r="J943" s="283"/>
      <c r="K943" s="283"/>
      <c r="L943" s="283"/>
      <c r="M943" s="283"/>
      <c r="N943" s="283"/>
      <c r="O943" s="283"/>
      <c r="P943" s="283"/>
      <c r="Q943" s="283"/>
      <c r="R943" s="283"/>
      <c r="S943" s="283"/>
      <c r="T943" s="283"/>
      <c r="U943" s="283"/>
      <c r="V943" s="283"/>
      <c r="W943" s="283"/>
      <c r="X943" s="283"/>
    </row>
    <row r="944" spans="1:24" ht="13.5" customHeight="1" x14ac:dyDescent="0.2">
      <c r="A944" s="283"/>
      <c r="B944" s="283"/>
      <c r="C944" s="283"/>
      <c r="D944" s="283"/>
      <c r="E944" s="283"/>
      <c r="F944" s="283"/>
      <c r="G944" s="283"/>
      <c r="H944" s="283"/>
      <c r="I944" s="283"/>
      <c r="J944" s="283"/>
      <c r="K944" s="283"/>
      <c r="L944" s="283"/>
      <c r="M944" s="283"/>
      <c r="N944" s="283"/>
      <c r="O944" s="283"/>
      <c r="P944" s="283"/>
      <c r="Q944" s="283"/>
      <c r="R944" s="283"/>
      <c r="S944" s="283"/>
      <c r="T944" s="283"/>
      <c r="U944" s="283"/>
      <c r="V944" s="283"/>
      <c r="W944" s="283"/>
      <c r="X944" s="283"/>
    </row>
    <row r="945" spans="1:24" ht="13.5" customHeight="1" x14ac:dyDescent="0.2">
      <c r="A945" s="283"/>
      <c r="B945" s="283"/>
      <c r="C945" s="283"/>
      <c r="D945" s="283"/>
      <c r="E945" s="283"/>
      <c r="F945" s="283"/>
      <c r="G945" s="283"/>
      <c r="H945" s="283"/>
      <c r="I945" s="283"/>
      <c r="J945" s="283"/>
      <c r="K945" s="283"/>
      <c r="L945" s="283"/>
      <c r="M945" s="283"/>
      <c r="N945" s="283"/>
      <c r="O945" s="283"/>
      <c r="P945" s="283"/>
      <c r="Q945" s="283"/>
      <c r="R945" s="283"/>
      <c r="S945" s="283"/>
      <c r="T945" s="283"/>
      <c r="U945" s="283"/>
      <c r="V945" s="283"/>
      <c r="W945" s="283"/>
      <c r="X945" s="283"/>
    </row>
    <row r="946" spans="1:24" ht="13.5" customHeight="1" x14ac:dyDescent="0.2">
      <c r="A946" s="283"/>
      <c r="B946" s="283"/>
      <c r="C946" s="283"/>
      <c r="D946" s="283"/>
      <c r="E946" s="283"/>
      <c r="F946" s="283"/>
      <c r="G946" s="283"/>
      <c r="H946" s="283"/>
      <c r="I946" s="283"/>
      <c r="J946" s="283"/>
      <c r="K946" s="283"/>
      <c r="L946" s="283"/>
      <c r="M946" s="283"/>
      <c r="N946" s="283"/>
      <c r="O946" s="283"/>
      <c r="P946" s="283"/>
      <c r="Q946" s="283"/>
      <c r="R946" s="283"/>
      <c r="S946" s="283"/>
      <c r="T946" s="283"/>
      <c r="U946" s="283"/>
      <c r="V946" s="283"/>
      <c r="W946" s="283"/>
      <c r="X946" s="283"/>
    </row>
    <row r="947" spans="1:24" ht="13.5" customHeight="1" x14ac:dyDescent="0.2">
      <c r="A947" s="283"/>
      <c r="B947" s="283"/>
      <c r="C947" s="283"/>
      <c r="D947" s="283"/>
      <c r="E947" s="283"/>
      <c r="F947" s="283"/>
      <c r="G947" s="283"/>
      <c r="H947" s="283"/>
      <c r="I947" s="283"/>
      <c r="J947" s="283"/>
      <c r="K947" s="283"/>
      <c r="L947" s="283"/>
      <c r="M947" s="283"/>
      <c r="N947" s="283"/>
      <c r="O947" s="283"/>
      <c r="P947" s="283"/>
      <c r="Q947" s="283"/>
      <c r="R947" s="283"/>
      <c r="S947" s="283"/>
      <c r="T947" s="283"/>
      <c r="U947" s="283"/>
      <c r="V947" s="283"/>
      <c r="W947" s="283"/>
      <c r="X947" s="283"/>
    </row>
    <row r="948" spans="1:24" ht="13.5" customHeight="1" x14ac:dyDescent="0.2">
      <c r="A948" s="283"/>
      <c r="B948" s="283"/>
      <c r="C948" s="283"/>
      <c r="D948" s="283"/>
      <c r="E948" s="283"/>
      <c r="F948" s="283"/>
      <c r="G948" s="283"/>
      <c r="H948" s="283"/>
      <c r="I948" s="283"/>
      <c r="J948" s="283"/>
      <c r="K948" s="283"/>
      <c r="L948" s="283"/>
      <c r="M948" s="283"/>
      <c r="N948" s="283"/>
      <c r="O948" s="283"/>
      <c r="P948" s="283"/>
      <c r="Q948" s="283"/>
      <c r="R948" s="283"/>
      <c r="S948" s="283"/>
      <c r="T948" s="283"/>
      <c r="U948" s="283"/>
      <c r="V948" s="283"/>
      <c r="W948" s="283"/>
      <c r="X948" s="283"/>
    </row>
    <row r="949" spans="1:24" ht="13.5" customHeight="1" x14ac:dyDescent="0.2">
      <c r="A949" s="283"/>
      <c r="B949" s="283"/>
      <c r="C949" s="283"/>
      <c r="D949" s="283"/>
      <c r="E949" s="283"/>
      <c r="F949" s="283"/>
      <c r="G949" s="283"/>
      <c r="H949" s="283"/>
      <c r="I949" s="283"/>
      <c r="J949" s="283"/>
      <c r="K949" s="283"/>
      <c r="L949" s="283"/>
      <c r="M949" s="283"/>
      <c r="N949" s="283"/>
      <c r="O949" s="283"/>
      <c r="P949" s="283"/>
      <c r="Q949" s="283"/>
      <c r="R949" s="283"/>
      <c r="S949" s="283"/>
      <c r="T949" s="283"/>
      <c r="U949" s="283"/>
      <c r="V949" s="283"/>
      <c r="W949" s="283"/>
      <c r="X949" s="283"/>
    </row>
    <row r="950" spans="1:24" ht="13.5" customHeight="1" x14ac:dyDescent="0.2">
      <c r="A950" s="283"/>
      <c r="B950" s="283"/>
      <c r="C950" s="283"/>
      <c r="D950" s="283"/>
      <c r="E950" s="283"/>
      <c r="F950" s="283"/>
      <c r="G950" s="283"/>
      <c r="H950" s="283"/>
      <c r="I950" s="283"/>
      <c r="J950" s="283"/>
      <c r="K950" s="283"/>
      <c r="L950" s="283"/>
      <c r="M950" s="283"/>
      <c r="N950" s="283"/>
      <c r="O950" s="283"/>
      <c r="P950" s="283"/>
      <c r="Q950" s="283"/>
      <c r="R950" s="283"/>
      <c r="S950" s="283"/>
      <c r="T950" s="283"/>
      <c r="U950" s="283"/>
      <c r="V950" s="283"/>
      <c r="W950" s="283"/>
      <c r="X950" s="283"/>
    </row>
    <row r="951" spans="1:24" ht="13.5" customHeight="1" x14ac:dyDescent="0.2">
      <c r="A951" s="283"/>
      <c r="B951" s="283"/>
      <c r="C951" s="283"/>
      <c r="D951" s="283"/>
      <c r="E951" s="283"/>
      <c r="F951" s="283"/>
      <c r="G951" s="283"/>
      <c r="H951" s="283"/>
      <c r="I951" s="283"/>
      <c r="J951" s="283"/>
      <c r="K951" s="283"/>
      <c r="L951" s="283"/>
      <c r="M951" s="283"/>
      <c r="N951" s="283"/>
      <c r="O951" s="283"/>
      <c r="P951" s="283"/>
      <c r="Q951" s="283"/>
      <c r="R951" s="283"/>
      <c r="S951" s="283"/>
      <c r="T951" s="283"/>
      <c r="U951" s="283"/>
      <c r="V951" s="283"/>
      <c r="W951" s="283"/>
      <c r="X951" s="283"/>
    </row>
    <row r="952" spans="1:24" ht="13.5" customHeight="1" x14ac:dyDescent="0.2">
      <c r="A952" s="283"/>
      <c r="B952" s="283"/>
      <c r="C952" s="283"/>
      <c r="D952" s="283"/>
      <c r="E952" s="283"/>
      <c r="F952" s="283"/>
      <c r="G952" s="283"/>
      <c r="H952" s="283"/>
      <c r="I952" s="283"/>
      <c r="J952" s="283"/>
      <c r="K952" s="283"/>
      <c r="L952" s="283"/>
      <c r="M952" s="283"/>
      <c r="N952" s="283"/>
      <c r="O952" s="283"/>
      <c r="P952" s="283"/>
      <c r="Q952" s="283"/>
      <c r="R952" s="283"/>
      <c r="S952" s="283"/>
      <c r="T952" s="283"/>
      <c r="U952" s="283"/>
      <c r="V952" s="283"/>
      <c r="W952" s="283"/>
      <c r="X952" s="283"/>
    </row>
    <row r="953" spans="1:24" ht="13.5" customHeight="1" x14ac:dyDescent="0.2">
      <c r="A953" s="283"/>
      <c r="B953" s="283"/>
      <c r="C953" s="283"/>
      <c r="D953" s="283"/>
      <c r="E953" s="283"/>
      <c r="F953" s="283"/>
      <c r="G953" s="283"/>
      <c r="H953" s="283"/>
      <c r="I953" s="283"/>
      <c r="J953" s="283"/>
      <c r="K953" s="283"/>
      <c r="L953" s="283"/>
      <c r="M953" s="283"/>
      <c r="N953" s="283"/>
      <c r="O953" s="283"/>
      <c r="P953" s="283"/>
      <c r="Q953" s="283"/>
      <c r="R953" s="283"/>
      <c r="S953" s="283"/>
      <c r="T953" s="283"/>
      <c r="U953" s="283"/>
      <c r="V953" s="283"/>
      <c r="W953" s="283"/>
      <c r="X953" s="283"/>
    </row>
    <row r="954" spans="1:24" ht="13.5" customHeight="1" x14ac:dyDescent="0.2">
      <c r="A954" s="283"/>
      <c r="B954" s="283"/>
      <c r="C954" s="283"/>
      <c r="D954" s="283"/>
      <c r="E954" s="283"/>
      <c r="F954" s="283"/>
      <c r="G954" s="283"/>
      <c r="H954" s="283"/>
      <c r="I954" s="283"/>
      <c r="J954" s="283"/>
      <c r="K954" s="283"/>
      <c r="L954" s="283"/>
      <c r="M954" s="283"/>
      <c r="N954" s="283"/>
      <c r="O954" s="283"/>
      <c r="P954" s="283"/>
      <c r="Q954" s="283"/>
      <c r="R954" s="283"/>
      <c r="S954" s="283"/>
      <c r="T954" s="283"/>
      <c r="U954" s="283"/>
      <c r="V954" s="283"/>
      <c r="W954" s="283"/>
      <c r="X954" s="283"/>
    </row>
    <row r="955" spans="1:24" ht="13.5" customHeight="1" x14ac:dyDescent="0.2">
      <c r="A955" s="283"/>
      <c r="B955" s="283"/>
      <c r="C955" s="283"/>
      <c r="D955" s="283"/>
      <c r="E955" s="283"/>
      <c r="F955" s="283"/>
      <c r="G955" s="283"/>
      <c r="H955" s="283"/>
      <c r="I955" s="283"/>
      <c r="J955" s="283"/>
      <c r="K955" s="283"/>
      <c r="L955" s="283"/>
      <c r="M955" s="283"/>
      <c r="N955" s="283"/>
      <c r="O955" s="283"/>
      <c r="P955" s="283"/>
      <c r="Q955" s="283"/>
      <c r="R955" s="283"/>
      <c r="S955" s="283"/>
      <c r="T955" s="283"/>
      <c r="U955" s="283"/>
      <c r="V955" s="283"/>
      <c r="W955" s="283"/>
      <c r="X955" s="283"/>
    </row>
    <row r="956" spans="1:24" ht="13.5" customHeight="1" x14ac:dyDescent="0.2">
      <c r="A956" s="283"/>
      <c r="B956" s="283"/>
      <c r="C956" s="283"/>
      <c r="D956" s="283"/>
      <c r="E956" s="283"/>
      <c r="F956" s="283"/>
      <c r="G956" s="283"/>
      <c r="H956" s="283"/>
      <c r="I956" s="283"/>
      <c r="J956" s="283"/>
      <c r="K956" s="283"/>
      <c r="L956" s="283"/>
      <c r="M956" s="283"/>
      <c r="N956" s="283"/>
      <c r="O956" s="283"/>
      <c r="P956" s="283"/>
      <c r="Q956" s="283"/>
      <c r="R956" s="283"/>
      <c r="S956" s="283"/>
      <c r="T956" s="283"/>
      <c r="U956" s="283"/>
      <c r="V956" s="283"/>
      <c r="W956" s="283"/>
      <c r="X956" s="283"/>
    </row>
    <row r="957" spans="1:24" ht="13.5" customHeight="1" x14ac:dyDescent="0.2">
      <c r="A957" s="283"/>
      <c r="B957" s="283"/>
      <c r="C957" s="283"/>
      <c r="D957" s="283"/>
      <c r="E957" s="283"/>
      <c r="F957" s="283"/>
      <c r="G957" s="283"/>
      <c r="H957" s="283"/>
      <c r="I957" s="283"/>
      <c r="J957" s="283"/>
      <c r="K957" s="283"/>
      <c r="L957" s="283"/>
      <c r="M957" s="283"/>
      <c r="N957" s="283"/>
      <c r="O957" s="283"/>
      <c r="P957" s="283"/>
      <c r="Q957" s="283"/>
      <c r="R957" s="283"/>
      <c r="S957" s="283"/>
      <c r="T957" s="283"/>
      <c r="U957" s="283"/>
      <c r="V957" s="283"/>
      <c r="W957" s="283"/>
      <c r="X957" s="283"/>
    </row>
    <row r="958" spans="1:24" ht="13.5" customHeight="1" x14ac:dyDescent="0.2">
      <c r="A958" s="283"/>
      <c r="B958" s="283"/>
      <c r="C958" s="283"/>
      <c r="D958" s="283"/>
      <c r="E958" s="283"/>
      <c r="F958" s="283"/>
      <c r="G958" s="283"/>
      <c r="H958" s="283"/>
      <c r="I958" s="283"/>
      <c r="J958" s="283"/>
      <c r="K958" s="283"/>
      <c r="L958" s="283"/>
      <c r="M958" s="283"/>
      <c r="N958" s="283"/>
      <c r="O958" s="283"/>
      <c r="P958" s="283"/>
      <c r="Q958" s="283"/>
      <c r="R958" s="283"/>
      <c r="S958" s="283"/>
      <c r="T958" s="283"/>
      <c r="U958" s="283"/>
      <c r="V958" s="283"/>
      <c r="W958" s="283"/>
      <c r="X958" s="283"/>
    </row>
    <row r="959" spans="1:24" ht="13.5" customHeight="1" x14ac:dyDescent="0.2">
      <c r="A959" s="283"/>
      <c r="B959" s="283"/>
      <c r="C959" s="283"/>
      <c r="D959" s="283"/>
      <c r="E959" s="283"/>
      <c r="F959" s="283"/>
      <c r="G959" s="283"/>
      <c r="H959" s="283"/>
      <c r="I959" s="283"/>
      <c r="J959" s="283"/>
      <c r="K959" s="283"/>
      <c r="L959" s="283"/>
      <c r="M959" s="283"/>
      <c r="N959" s="283"/>
      <c r="O959" s="283"/>
      <c r="P959" s="283"/>
      <c r="Q959" s="283"/>
      <c r="R959" s="283"/>
      <c r="S959" s="283"/>
      <c r="T959" s="283"/>
      <c r="U959" s="283"/>
      <c r="V959" s="283"/>
      <c r="W959" s="283"/>
      <c r="X959" s="283"/>
    </row>
    <row r="960" spans="1:24" ht="13.5" customHeight="1" x14ac:dyDescent="0.2">
      <c r="A960" s="283"/>
      <c r="B960" s="283"/>
      <c r="C960" s="283"/>
      <c r="D960" s="283"/>
      <c r="E960" s="283"/>
      <c r="F960" s="283"/>
      <c r="G960" s="283"/>
      <c r="H960" s="283"/>
      <c r="I960" s="283"/>
      <c r="J960" s="283"/>
      <c r="K960" s="283"/>
      <c r="L960" s="283"/>
      <c r="M960" s="283"/>
      <c r="N960" s="283"/>
      <c r="O960" s="283"/>
      <c r="P960" s="283"/>
      <c r="Q960" s="283"/>
      <c r="R960" s="283"/>
      <c r="S960" s="283"/>
      <c r="T960" s="283"/>
      <c r="U960" s="283"/>
      <c r="V960" s="283"/>
      <c r="W960" s="283"/>
      <c r="X960" s="283"/>
    </row>
    <row r="961" spans="1:24" ht="13.5" customHeight="1" x14ac:dyDescent="0.2">
      <c r="A961" s="283"/>
      <c r="B961" s="283"/>
      <c r="C961" s="283"/>
      <c r="D961" s="283"/>
      <c r="E961" s="283"/>
      <c r="F961" s="283"/>
      <c r="G961" s="283"/>
      <c r="H961" s="283"/>
      <c r="I961" s="283"/>
      <c r="J961" s="283"/>
      <c r="K961" s="283"/>
      <c r="L961" s="283"/>
      <c r="M961" s="283"/>
      <c r="N961" s="283"/>
      <c r="O961" s="283"/>
      <c r="P961" s="283"/>
      <c r="Q961" s="283"/>
      <c r="R961" s="283"/>
      <c r="S961" s="283"/>
      <c r="T961" s="283"/>
      <c r="U961" s="283"/>
      <c r="V961" s="283"/>
      <c r="W961" s="283"/>
      <c r="X961" s="283"/>
    </row>
    <row r="962" spans="1:24" ht="13.5" customHeight="1" x14ac:dyDescent="0.2">
      <c r="A962" s="283"/>
      <c r="B962" s="283"/>
      <c r="C962" s="283"/>
      <c r="D962" s="283"/>
      <c r="E962" s="283"/>
      <c r="F962" s="283"/>
      <c r="G962" s="283"/>
      <c r="H962" s="283"/>
      <c r="I962" s="283"/>
      <c r="J962" s="283"/>
      <c r="K962" s="283"/>
      <c r="L962" s="283"/>
      <c r="M962" s="283"/>
      <c r="N962" s="283"/>
      <c r="O962" s="283"/>
      <c r="P962" s="283"/>
      <c r="Q962" s="283"/>
      <c r="R962" s="283"/>
      <c r="S962" s="283"/>
      <c r="T962" s="283"/>
      <c r="U962" s="283"/>
      <c r="V962" s="283"/>
      <c r="W962" s="283"/>
      <c r="X962" s="283"/>
    </row>
    <row r="963" spans="1:24" ht="13.5" customHeight="1" x14ac:dyDescent="0.2">
      <c r="A963" s="283"/>
      <c r="B963" s="283"/>
      <c r="C963" s="283"/>
      <c r="D963" s="283"/>
      <c r="E963" s="283"/>
      <c r="F963" s="283"/>
      <c r="G963" s="283"/>
      <c r="H963" s="283"/>
      <c r="I963" s="283"/>
      <c r="J963" s="283"/>
      <c r="K963" s="283"/>
      <c r="L963" s="283"/>
      <c r="M963" s="283"/>
      <c r="N963" s="283"/>
      <c r="O963" s="283"/>
      <c r="P963" s="283"/>
      <c r="Q963" s="283"/>
      <c r="R963" s="283"/>
      <c r="S963" s="283"/>
      <c r="T963" s="283"/>
      <c r="U963" s="283"/>
      <c r="V963" s="283"/>
      <c r="W963" s="283"/>
      <c r="X963" s="283"/>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AH65"/>
  <sheetViews>
    <sheetView topLeftCell="A2" workbookViewId="0"/>
  </sheetViews>
  <sheetFormatPr baseColWidth="10" defaultColWidth="0" defaultRowHeight="14" x14ac:dyDescent="0.2"/>
  <cols>
    <col min="1" max="1" width="67" style="293" customWidth="1"/>
    <col min="2" max="2" width="28.625" style="293" customWidth="1"/>
    <col min="3" max="3" width="2.625" style="294" customWidth="1"/>
    <col min="4" max="4" width="78.125" style="293" customWidth="1"/>
    <col min="5" max="5" width="2.625" style="295" customWidth="1"/>
    <col min="6" max="6" width="101.625" style="293" customWidth="1"/>
    <col min="7" max="7" width="2.625" style="295" customWidth="1"/>
    <col min="8" max="8" width="73" style="293" customWidth="1"/>
    <col min="9" max="9" width="2.625" style="295" customWidth="1"/>
    <col min="10" max="10" width="14.625" style="293" customWidth="1"/>
    <col min="11" max="11" width="2.625" style="295" customWidth="1"/>
    <col min="12" max="12" width="14.625" style="293" customWidth="1"/>
    <col min="13" max="13" width="2.625" style="295" customWidth="1"/>
    <col min="14" max="14" width="8.75" style="293"/>
    <col min="15" max="15" width="40.125" style="293" customWidth="1"/>
    <col min="16" max="17" width="8.75" style="293"/>
    <col min="18" max="34" width="8.375" style="293" hidden="1" customWidth="1"/>
    <col min="35" max="16384" width="8.75" style="293" hidden="1"/>
  </cols>
  <sheetData>
    <row r="1" spans="1:34" ht="21" hidden="1" customHeight="1" x14ac:dyDescent="0.2">
      <c r="A1" s="296" t="s">
        <v>1830</v>
      </c>
    </row>
    <row r="2" spans="1:34" ht="17" customHeight="1" x14ac:dyDescent="0.2">
      <c r="A2" s="297" t="s">
        <v>1831</v>
      </c>
      <c r="B2" s="297" t="s">
        <v>1832</v>
      </c>
      <c r="C2" s="298"/>
      <c r="D2" s="297" t="s">
        <v>3</v>
      </c>
      <c r="E2" s="299"/>
      <c r="F2" s="297" t="s">
        <v>1833</v>
      </c>
      <c r="G2" s="299"/>
      <c r="H2" s="297" t="s">
        <v>1834</v>
      </c>
      <c r="I2" s="299"/>
      <c r="J2" s="300" t="s">
        <v>1835</v>
      </c>
      <c r="K2" s="301"/>
      <c r="L2" s="300" t="s">
        <v>1836</v>
      </c>
      <c r="M2" s="301"/>
      <c r="N2" s="300" t="s">
        <v>1837</v>
      </c>
      <c r="P2" s="302"/>
      <c r="Q2" s="297"/>
      <c r="R2" s="297"/>
      <c r="S2" s="297"/>
      <c r="T2" s="297"/>
      <c r="U2" s="297"/>
      <c r="V2" s="297"/>
      <c r="W2" s="297"/>
      <c r="X2" s="297"/>
      <c r="Y2" s="297"/>
      <c r="Z2" s="297"/>
      <c r="AA2" s="297"/>
      <c r="AB2" s="297"/>
      <c r="AC2" s="297"/>
      <c r="AD2" s="297"/>
      <c r="AE2" s="297"/>
      <c r="AF2" s="297"/>
      <c r="AG2" s="297"/>
      <c r="AH2" s="297"/>
    </row>
    <row r="3" spans="1:34" ht="17" customHeight="1" x14ac:dyDescent="0.2">
      <c r="A3" s="303" t="s">
        <v>1838</v>
      </c>
      <c r="B3" s="303" t="s">
        <v>1839</v>
      </c>
      <c r="D3" s="303" t="s">
        <v>1840</v>
      </c>
      <c r="F3" s="303" t="s">
        <v>1841</v>
      </c>
      <c r="H3" s="304" t="s">
        <v>1842</v>
      </c>
      <c r="I3" s="305"/>
      <c r="J3" s="293" t="s">
        <v>30</v>
      </c>
      <c r="L3" s="293" t="s">
        <v>1843</v>
      </c>
      <c r="N3" s="306" t="s">
        <v>481</v>
      </c>
      <c r="O3" s="306" t="s">
        <v>1844</v>
      </c>
      <c r="P3" s="307" t="s">
        <v>1845</v>
      </c>
    </row>
    <row r="4" spans="1:34" ht="17" customHeight="1" x14ac:dyDescent="0.2">
      <c r="A4" s="303" t="s">
        <v>1846</v>
      </c>
      <c r="B4" s="303" t="s">
        <v>1847</v>
      </c>
      <c r="D4" s="303" t="s">
        <v>1848</v>
      </c>
      <c r="F4" s="303" t="s">
        <v>1849</v>
      </c>
      <c r="H4" s="303" t="s">
        <v>1850</v>
      </c>
      <c r="I4" s="308"/>
      <c r="J4" s="293" t="s">
        <v>26</v>
      </c>
      <c r="L4" s="293" t="s">
        <v>1300</v>
      </c>
      <c r="N4" s="309" t="s">
        <v>1851</v>
      </c>
      <c r="O4" s="293" t="s">
        <v>1852</v>
      </c>
      <c r="P4" s="302">
        <f>COUNTIF('(backend scoring)'!$B:$B,'Auto Responses'!$N4)</f>
        <v>9</v>
      </c>
    </row>
    <row r="5" spans="1:34" ht="17" customHeight="1" x14ac:dyDescent="0.2">
      <c r="A5" s="303" t="s">
        <v>1853</v>
      </c>
      <c r="B5" s="303" t="s">
        <v>1854</v>
      </c>
      <c r="D5" s="303" t="s">
        <v>1855</v>
      </c>
      <c r="F5" s="303" t="s">
        <v>1856</v>
      </c>
      <c r="H5" s="303" t="s">
        <v>1857</v>
      </c>
      <c r="I5" s="308"/>
      <c r="J5" s="293" t="s">
        <v>75</v>
      </c>
      <c r="L5" s="293" t="s">
        <v>1858</v>
      </c>
      <c r="N5" s="309" t="s">
        <v>436</v>
      </c>
      <c r="O5" s="293" t="s">
        <v>1859</v>
      </c>
      <c r="P5" s="302">
        <f>COUNTIF('(backend scoring)'!$B:$B,'Auto Responses'!$N5)</f>
        <v>5</v>
      </c>
    </row>
    <row r="6" spans="1:34" ht="17" customHeight="1" x14ac:dyDescent="0.2">
      <c r="A6" s="303" t="s">
        <v>1860</v>
      </c>
      <c r="B6" s="303" t="s">
        <v>1861</v>
      </c>
      <c r="D6" s="303" t="s">
        <v>1862</v>
      </c>
      <c r="F6" s="303" t="s">
        <v>1863</v>
      </c>
      <c r="L6" s="293" t="s">
        <v>1864</v>
      </c>
      <c r="N6" s="309" t="s">
        <v>1865</v>
      </c>
      <c r="O6" s="293" t="s">
        <v>1866</v>
      </c>
      <c r="P6" s="302">
        <f>COUNTIF('(backend scoring)'!$B:$B,'Auto Responses'!$N6)</f>
        <v>8</v>
      </c>
    </row>
    <row r="7" spans="1:34" ht="17" customHeight="1" x14ac:dyDescent="0.2">
      <c r="A7" s="303" t="s">
        <v>1867</v>
      </c>
      <c r="B7" s="303" t="s">
        <v>1868</v>
      </c>
      <c r="D7" s="303" t="s">
        <v>1869</v>
      </c>
      <c r="F7" s="303" t="s">
        <v>1870</v>
      </c>
      <c r="J7" s="293" t="s">
        <v>470</v>
      </c>
      <c r="L7" s="293" t="s">
        <v>1871</v>
      </c>
      <c r="N7" s="309" t="s">
        <v>437</v>
      </c>
      <c r="O7" s="293" t="s">
        <v>1872</v>
      </c>
      <c r="P7" s="302">
        <f>COUNTIF('(backend scoring)'!$B:$B,'Auto Responses'!$N7)</f>
        <v>7</v>
      </c>
    </row>
    <row r="8" spans="1:34" ht="17" customHeight="1" x14ac:dyDescent="0.2">
      <c r="A8" s="303" t="s">
        <v>1873</v>
      </c>
      <c r="B8" s="303" t="s">
        <v>1874</v>
      </c>
      <c r="D8" s="293" t="s">
        <v>1875</v>
      </c>
      <c r="F8" s="293" t="s">
        <v>1876</v>
      </c>
      <c r="J8" s="293" t="s">
        <v>1877</v>
      </c>
      <c r="L8" s="293" t="s">
        <v>1878</v>
      </c>
      <c r="N8" s="309" t="s">
        <v>452</v>
      </c>
      <c r="O8" s="293" t="s">
        <v>1879</v>
      </c>
      <c r="P8" s="302">
        <f>COUNTIF('(backend scoring)'!$B:$B,'Auto Responses'!$N8)</f>
        <v>18</v>
      </c>
    </row>
    <row r="9" spans="1:34" ht="17" customHeight="1" x14ac:dyDescent="0.2">
      <c r="A9" s="303" t="s">
        <v>1880</v>
      </c>
      <c r="B9" s="303" t="s">
        <v>1881</v>
      </c>
      <c r="D9" s="293" t="s">
        <v>1882</v>
      </c>
      <c r="L9" s="293" t="s">
        <v>1334</v>
      </c>
      <c r="N9" s="309" t="s">
        <v>438</v>
      </c>
      <c r="O9" s="293" t="s">
        <v>1883</v>
      </c>
      <c r="P9" s="302">
        <f>COUNTIF('(backend scoring)'!$B:$B,'Auto Responses'!$N9)</f>
        <v>5</v>
      </c>
    </row>
    <row r="10" spans="1:34" ht="17" customHeight="1" x14ac:dyDescent="0.2">
      <c r="A10" s="303" t="s">
        <v>1884</v>
      </c>
      <c r="B10" s="303" t="s">
        <v>1885</v>
      </c>
      <c r="N10" s="309" t="s">
        <v>448</v>
      </c>
      <c r="O10" s="293" t="s">
        <v>1886</v>
      </c>
      <c r="P10" s="302">
        <f>COUNTIF('(backend scoring)'!$B:$B,'Auto Responses'!$N10)</f>
        <v>9</v>
      </c>
    </row>
    <row r="11" spans="1:34" ht="17" customHeight="1" x14ac:dyDescent="0.2">
      <c r="A11" s="303" t="s">
        <v>1887</v>
      </c>
      <c r="B11" s="303" t="s">
        <v>1888</v>
      </c>
      <c r="J11" s="293" t="s">
        <v>606</v>
      </c>
      <c r="N11" s="309" t="s">
        <v>443</v>
      </c>
      <c r="O11" s="293" t="s">
        <v>1889</v>
      </c>
      <c r="P11" s="302">
        <f>COUNTIF('(backend scoring)'!$B:$B,'Auto Responses'!$N11)</f>
        <v>14</v>
      </c>
    </row>
    <row r="12" spans="1:34" ht="17" customHeight="1" x14ac:dyDescent="0.2">
      <c r="A12" s="303" t="s">
        <v>1890</v>
      </c>
      <c r="B12" s="303" t="s">
        <v>1891</v>
      </c>
      <c r="F12" s="303"/>
      <c r="J12" s="293" t="s">
        <v>555</v>
      </c>
      <c r="L12" s="300" t="s">
        <v>1892</v>
      </c>
      <c r="N12" s="309" t="s">
        <v>441</v>
      </c>
      <c r="O12" s="293" t="s">
        <v>1893</v>
      </c>
      <c r="P12" s="302">
        <f>COUNTIF('(backend scoring)'!$B:$B,'Auto Responses'!$N12)</f>
        <v>18</v>
      </c>
    </row>
    <row r="13" spans="1:34" ht="17" customHeight="1" x14ac:dyDescent="0.2">
      <c r="A13" s="303" t="s">
        <v>1894</v>
      </c>
      <c r="B13" s="303" t="s">
        <v>1895</v>
      </c>
      <c r="F13" s="303"/>
      <c r="J13" s="293" t="s">
        <v>564</v>
      </c>
      <c r="L13" s="293" t="s">
        <v>536</v>
      </c>
      <c r="N13" s="309" t="s">
        <v>439</v>
      </c>
      <c r="O13" s="293" t="s">
        <v>1896</v>
      </c>
      <c r="P13" s="302">
        <f>COUNTIF('(backend scoring)'!$B:$B,'Auto Responses'!$N13)</f>
        <v>16</v>
      </c>
    </row>
    <row r="14" spans="1:34" ht="17" customHeight="1" x14ac:dyDescent="0.2">
      <c r="A14" s="303" t="s">
        <v>581</v>
      </c>
      <c r="B14" s="303" t="s">
        <v>1897</v>
      </c>
      <c r="J14" s="293" t="s">
        <v>1898</v>
      </c>
      <c r="L14" s="293" t="s">
        <v>1899</v>
      </c>
      <c r="N14" s="309" t="s">
        <v>442</v>
      </c>
      <c r="O14" s="293" t="s">
        <v>1900</v>
      </c>
      <c r="P14" s="302">
        <f>COUNTIF('(backend scoring)'!$B:$B,'Auto Responses'!$N14)</f>
        <v>23</v>
      </c>
    </row>
    <row r="15" spans="1:34" ht="17" customHeight="1" x14ac:dyDescent="0.2">
      <c r="A15" s="303" t="s">
        <v>580</v>
      </c>
      <c r="B15" s="303" t="s">
        <v>1901</v>
      </c>
      <c r="L15" s="293" t="s">
        <v>604</v>
      </c>
      <c r="N15" s="309" t="s">
        <v>444</v>
      </c>
      <c r="O15" s="293" t="s">
        <v>1902</v>
      </c>
      <c r="P15" s="302">
        <f>COUNTIF('(backend scoring)'!$B:$B,'Auto Responses'!$N15)</f>
        <v>16</v>
      </c>
    </row>
    <row r="16" spans="1:34" ht="17" customHeight="1" x14ac:dyDescent="0.2">
      <c r="A16" s="303" t="s">
        <v>1903</v>
      </c>
      <c r="B16" s="303" t="s">
        <v>1904</v>
      </c>
      <c r="L16" s="293" t="s">
        <v>516</v>
      </c>
      <c r="N16" s="309" t="s">
        <v>445</v>
      </c>
      <c r="O16" s="293" t="s">
        <v>1905</v>
      </c>
      <c r="P16" s="302">
        <f>COUNTIF('(backend scoring)'!$B:$B,'Auto Responses'!$N16)</f>
        <v>11</v>
      </c>
    </row>
    <row r="17" spans="1:20" ht="17" customHeight="1" x14ac:dyDescent="0.2">
      <c r="A17" s="303" t="s">
        <v>1906</v>
      </c>
      <c r="B17" s="303" t="s">
        <v>1907</v>
      </c>
      <c r="J17" s="293" t="s">
        <v>1908</v>
      </c>
      <c r="L17" s="293" t="s">
        <v>740</v>
      </c>
      <c r="N17" s="309" t="s">
        <v>440</v>
      </c>
      <c r="O17" s="293" t="s">
        <v>1909</v>
      </c>
      <c r="P17" s="302">
        <f>COUNTIF('(backend scoring)'!$B:$B,'Auto Responses'!$N17)</f>
        <v>15</v>
      </c>
    </row>
    <row r="18" spans="1:20" ht="17" customHeight="1" x14ac:dyDescent="0.2">
      <c r="A18" s="303" t="s">
        <v>1910</v>
      </c>
      <c r="B18" s="303" t="s">
        <v>1911</v>
      </c>
      <c r="J18" s="293" t="s">
        <v>1912</v>
      </c>
      <c r="L18" s="293" t="s">
        <v>641</v>
      </c>
      <c r="N18" s="309" t="s">
        <v>446</v>
      </c>
      <c r="O18" s="293" t="s">
        <v>1913</v>
      </c>
      <c r="P18" s="302">
        <f>COUNTIF('(backend scoring)'!$B:$B,'Auto Responses'!$N18)</f>
        <v>4</v>
      </c>
    </row>
    <row r="19" spans="1:20" ht="17" customHeight="1" x14ac:dyDescent="0.2">
      <c r="A19" s="303" t="s">
        <v>1914</v>
      </c>
      <c r="B19" s="303" t="s">
        <v>1915</v>
      </c>
      <c r="J19" s="293" t="s">
        <v>1916</v>
      </c>
      <c r="L19" s="293" t="s">
        <v>727</v>
      </c>
      <c r="N19" s="309" t="s">
        <v>447</v>
      </c>
      <c r="O19" s="293" t="s">
        <v>1917</v>
      </c>
      <c r="P19" s="302">
        <f>COUNTIF('(backend scoring)'!$B:$B,'Auto Responses'!$N19)</f>
        <v>6</v>
      </c>
    </row>
    <row r="20" spans="1:20" ht="17" customHeight="1" x14ac:dyDescent="0.2">
      <c r="A20" s="303" t="s">
        <v>1918</v>
      </c>
      <c r="B20" s="303" t="s">
        <v>1919</v>
      </c>
      <c r="J20" s="293" t="s">
        <v>1920</v>
      </c>
      <c r="L20" s="293" t="s">
        <v>520</v>
      </c>
      <c r="N20" s="309" t="s">
        <v>449</v>
      </c>
      <c r="O20" s="293" t="s">
        <v>1921</v>
      </c>
      <c r="P20" s="302">
        <f>COUNTIF('(backend scoring)'!$B:$B,'Auto Responses'!$N20)</f>
        <v>29</v>
      </c>
    </row>
    <row r="21" spans="1:20" ht="17" customHeight="1" x14ac:dyDescent="0.2">
      <c r="A21" s="303" t="s">
        <v>1922</v>
      </c>
      <c r="B21" s="303" t="s">
        <v>1923</v>
      </c>
      <c r="J21" s="293" t="s">
        <v>1924</v>
      </c>
      <c r="L21" s="293" t="s">
        <v>521</v>
      </c>
      <c r="N21" s="309" t="s">
        <v>450</v>
      </c>
      <c r="O21" s="293" t="s">
        <v>1925</v>
      </c>
      <c r="P21" s="302">
        <f>COUNTIF('(backend scoring)'!$B:$B,'Auto Responses'!$N21)</f>
        <v>12</v>
      </c>
    </row>
    <row r="22" spans="1:20" ht="17" customHeight="1" x14ac:dyDescent="0.2">
      <c r="A22" s="303" t="s">
        <v>1926</v>
      </c>
      <c r="B22" s="303" t="s">
        <v>1927</v>
      </c>
      <c r="J22" s="293" t="s">
        <v>1928</v>
      </c>
      <c r="N22" s="309" t="s">
        <v>451</v>
      </c>
      <c r="O22" s="293" t="s">
        <v>1929</v>
      </c>
      <c r="P22" s="302">
        <f>COUNTIF('(backend scoring)'!$B:$B,'Auto Responses'!$N22)</f>
        <v>10</v>
      </c>
    </row>
    <row r="23" spans="1:20" ht="17" customHeight="1" x14ac:dyDescent="0.2">
      <c r="A23" s="303" t="s">
        <v>1930</v>
      </c>
      <c r="B23" s="303" t="s">
        <v>1931</v>
      </c>
      <c r="J23" s="293" t="s">
        <v>1932</v>
      </c>
      <c r="N23" s="309" t="s">
        <v>483</v>
      </c>
      <c r="O23" s="293" t="s">
        <v>1933</v>
      </c>
      <c r="P23" s="302">
        <f>COUNTIF('(backend scoring)'!$B:$B,'Auto Responses'!$N23)</f>
        <v>5</v>
      </c>
    </row>
    <row r="24" spans="1:20" ht="17" customHeight="1" x14ac:dyDescent="0.2">
      <c r="A24" s="303" t="s">
        <v>1934</v>
      </c>
      <c r="B24" s="303" t="s">
        <v>1935</v>
      </c>
      <c r="N24" s="309" t="s">
        <v>484</v>
      </c>
      <c r="O24" s="293" t="s">
        <v>1936</v>
      </c>
      <c r="P24" s="302">
        <f>COUNTIF('(backend scoring)'!$B:$B,'Auto Responses'!$N24)</f>
        <v>4</v>
      </c>
    </row>
    <row r="25" spans="1:20" ht="17" customHeight="1" x14ac:dyDescent="0.2">
      <c r="A25" s="303" t="s">
        <v>1937</v>
      </c>
      <c r="B25" s="303" t="s">
        <v>1938</v>
      </c>
      <c r="N25" s="309" t="s">
        <v>485</v>
      </c>
      <c r="O25" s="293" t="s">
        <v>1939</v>
      </c>
      <c r="P25" s="302">
        <f>COUNTIF('(backend scoring)'!$B:$B,'Auto Responses'!$N25)</f>
        <v>3</v>
      </c>
    </row>
    <row r="26" spans="1:20" ht="17" customHeight="1" x14ac:dyDescent="0.2">
      <c r="A26" s="303" t="s">
        <v>1940</v>
      </c>
      <c r="B26" s="303" t="s">
        <v>1941</v>
      </c>
      <c r="N26" s="309" t="s">
        <v>486</v>
      </c>
      <c r="O26" s="293" t="s">
        <v>1942</v>
      </c>
      <c r="P26" s="302">
        <f>COUNTIF('(backend scoring)'!$B:$B,'Auto Responses'!$N26)</f>
        <v>2</v>
      </c>
    </row>
    <row r="27" spans="1:20" ht="21" customHeight="1" x14ac:dyDescent="0.2">
      <c r="A27" s="293" t="s">
        <v>1943</v>
      </c>
      <c r="J27" s="293" t="s">
        <v>1944</v>
      </c>
      <c r="N27" s="309" t="s">
        <v>487</v>
      </c>
      <c r="O27" s="293" t="s">
        <v>1945</v>
      </c>
      <c r="P27" s="302">
        <f>COUNTIF('(backend scoring)'!$B:$B,'Auto Responses'!$N27)</f>
        <v>2</v>
      </c>
    </row>
    <row r="28" spans="1:20" ht="21" customHeight="1" x14ac:dyDescent="0.2">
      <c r="A28" s="303" t="s">
        <v>1946</v>
      </c>
      <c r="J28" s="293" t="s">
        <v>535</v>
      </c>
      <c r="N28" s="309" t="s">
        <v>488</v>
      </c>
      <c r="O28" s="293" t="s">
        <v>1947</v>
      </c>
      <c r="P28" s="302">
        <f>COUNTIF('(backend scoring)'!$B:$B,'Auto Responses'!$N28)</f>
        <v>8</v>
      </c>
    </row>
    <row r="29" spans="1:20" ht="21" customHeight="1" x14ac:dyDescent="0.2">
      <c r="A29" s="303"/>
      <c r="N29" s="309" t="s">
        <v>489</v>
      </c>
      <c r="O29" s="293" t="s">
        <v>1948</v>
      </c>
      <c r="P29" s="302">
        <f>COUNTIF('(backend scoring)'!$B:$B,'Auto Responses'!$N29)</f>
        <v>13</v>
      </c>
    </row>
    <row r="30" spans="1:20" ht="21" customHeight="1" x14ac:dyDescent="0.2">
      <c r="A30" s="303"/>
      <c r="N30" s="309" t="s">
        <v>490</v>
      </c>
      <c r="O30" s="293" t="s">
        <v>1949</v>
      </c>
      <c r="P30" s="302">
        <f>COUNTIF('(backend scoring)'!$B:$B,'Auto Responses'!$N30)</f>
        <v>5</v>
      </c>
    </row>
    <row r="31" spans="1:20" ht="21" customHeight="1" x14ac:dyDescent="0.2">
      <c r="A31" s="303"/>
      <c r="N31" s="309" t="s">
        <v>491</v>
      </c>
      <c r="O31" s="293" t="s">
        <v>1950</v>
      </c>
      <c r="P31" s="302">
        <f>COUNTIF('(backend scoring)'!$B:$B,'Auto Responses'!$N31)</f>
        <v>15</v>
      </c>
      <c r="T31" s="303"/>
    </row>
    <row r="32" spans="1:20" ht="21" customHeight="1" x14ac:dyDescent="0.2">
      <c r="A32" s="303" t="str">
        <f>LEFT($A$3,21)</f>
        <v>Based on the response</v>
      </c>
      <c r="N32" s="309" t="s">
        <v>492</v>
      </c>
      <c r="O32" s="293" t="s">
        <v>1951</v>
      </c>
      <c r="P32" s="302">
        <f>COUNTIF('(backend scoring)'!$B:$B,'Auto Responses'!$N32)</f>
        <v>8</v>
      </c>
    </row>
    <row r="33" spans="1:16" ht="21" customHeight="1" x14ac:dyDescent="0.2">
      <c r="A33" s="293" t="s">
        <v>1952</v>
      </c>
      <c r="N33" s="309" t="s">
        <v>1953</v>
      </c>
      <c r="O33" s="293" t="s">
        <v>1954</v>
      </c>
      <c r="P33" s="302">
        <f>COUNTIF('(backend scoring)'!$B:$B,'Auto Responses'!$N33)</f>
        <v>2</v>
      </c>
    </row>
    <row r="34" spans="1:16" ht="21" customHeight="1" x14ac:dyDescent="0.2">
      <c r="A34" s="303"/>
      <c r="N34" s="309" t="s">
        <v>1955</v>
      </c>
      <c r="O34" s="293" t="s">
        <v>1956</v>
      </c>
      <c r="P34" s="302">
        <f>COUNTIF('(backend scoring)'!$B:$B,'Auto Responses'!$N34)</f>
        <v>5</v>
      </c>
    </row>
    <row r="35" spans="1:16" ht="21" customHeight="1" x14ac:dyDescent="0.2">
      <c r="A35" s="303"/>
      <c r="N35" s="309" t="s">
        <v>1957</v>
      </c>
      <c r="O35" s="293" t="s">
        <v>1958</v>
      </c>
      <c r="P35" s="302">
        <f>COUNTIF('(backend scoring)'!$B:$B,'Auto Responses'!$N35)</f>
        <v>5</v>
      </c>
    </row>
    <row r="36" spans="1:16" ht="21" customHeight="1" x14ac:dyDescent="0.2">
      <c r="A36" s="303" t="s">
        <v>1959</v>
      </c>
      <c r="N36" s="309" t="s">
        <v>1960</v>
      </c>
      <c r="O36" s="293" t="s">
        <v>1961</v>
      </c>
      <c r="P36" s="302">
        <f>COUNTIF('(backend scoring)'!$B:$B,'Auto Responses'!$N36)</f>
        <v>5</v>
      </c>
    </row>
    <row r="37" spans="1:16" ht="21" customHeight="1" x14ac:dyDescent="0.2">
      <c r="A37" s="303"/>
      <c r="N37" s="309" t="s">
        <v>1962</v>
      </c>
      <c r="O37" s="293" t="s">
        <v>1963</v>
      </c>
      <c r="P37" s="302">
        <f>COUNTIF('(backend scoring)'!$B:$B,'Auto Responses'!$N37)</f>
        <v>8</v>
      </c>
    </row>
    <row r="38" spans="1:16" ht="21" customHeight="1" x14ac:dyDescent="0.2">
      <c r="A38" s="303"/>
      <c r="N38" s="309" t="s">
        <v>1964</v>
      </c>
      <c r="O38" s="293" t="s">
        <v>1965</v>
      </c>
      <c r="P38" s="302">
        <f>COUNTIF('(backend scoring)'!$B:$B,'Auto Responses'!$N38)</f>
        <v>6</v>
      </c>
    </row>
    <row r="39" spans="1:16" ht="21" customHeight="1" x14ac:dyDescent="0.2">
      <c r="A39" s="90" t="s">
        <v>332</v>
      </c>
    </row>
    <row r="40" spans="1:16" ht="21" hidden="1" customHeight="1" x14ac:dyDescent="0.2">
      <c r="A40" s="303"/>
    </row>
    <row r="41" spans="1:16" ht="21" hidden="1" customHeight="1" x14ac:dyDescent="0.2">
      <c r="A41" s="303"/>
    </row>
    <row r="42" spans="1:16" ht="21" hidden="1" customHeight="1" x14ac:dyDescent="0.2">
      <c r="A42" s="304"/>
    </row>
    <row r="43" spans="1:16" ht="21" hidden="1" customHeight="1" x14ac:dyDescent="0.2">
      <c r="A43" s="303"/>
    </row>
    <row r="44" spans="1:16" ht="21" hidden="1" customHeight="1" x14ac:dyDescent="0.2">
      <c r="A44" s="303"/>
    </row>
    <row r="45" spans="1:16" ht="21" hidden="1" customHeight="1" x14ac:dyDescent="0.2">
      <c r="A45" s="303"/>
    </row>
    <row r="51" spans="4:4" ht="21" hidden="1" customHeight="1" x14ac:dyDescent="0.2">
      <c r="D51" s="310"/>
    </row>
    <row r="52" spans="4:4" ht="21" hidden="1" customHeight="1" x14ac:dyDescent="0.2">
      <c r="D52" s="310"/>
    </row>
    <row r="53" spans="4:4" ht="21" hidden="1" customHeight="1" x14ac:dyDescent="0.2">
      <c r="D53" s="310"/>
    </row>
    <row r="54" spans="4:4" ht="21" hidden="1" customHeight="1" x14ac:dyDescent="0.2">
      <c r="D54" s="310"/>
    </row>
    <row r="55" spans="4:4" ht="21" hidden="1" customHeight="1" x14ac:dyDescent="0.2">
      <c r="D55" s="310"/>
    </row>
    <row r="56" spans="4:4" ht="21" hidden="1" customHeight="1" x14ac:dyDescent="0.2">
      <c r="D56" s="310"/>
    </row>
    <row r="57" spans="4:4" ht="21" hidden="1" customHeight="1" x14ac:dyDescent="0.2">
      <c r="D57" s="310"/>
    </row>
    <row r="58" spans="4:4" ht="21" hidden="1" customHeight="1" x14ac:dyDescent="0.2">
      <c r="D58" s="310"/>
    </row>
    <row r="59" spans="4:4" ht="21" hidden="1" customHeight="1" x14ac:dyDescent="0.2">
      <c r="D59" s="310"/>
    </row>
    <row r="60" spans="4:4" ht="21" hidden="1" customHeight="1" x14ac:dyDescent="0.2">
      <c r="D60" s="310"/>
    </row>
    <row r="61" spans="4:4" ht="21" hidden="1" customHeight="1" x14ac:dyDescent="0.2">
      <c r="D61" s="310"/>
    </row>
    <row r="62" spans="4:4" ht="21" hidden="1" customHeight="1" x14ac:dyDescent="0.2">
      <c r="D62" s="310"/>
    </row>
    <row r="63" spans="4:4" ht="21" hidden="1" customHeight="1" x14ac:dyDescent="0.2">
      <c r="D63" s="310"/>
    </row>
    <row r="64" spans="4:4" ht="21" hidden="1" customHeight="1" x14ac:dyDescent="0.2">
      <c r="D64" s="310"/>
    </row>
    <row r="65" spans="4:4" ht="21" hidden="1" customHeight="1" x14ac:dyDescent="0.2">
      <c r="D65" s="310"/>
    </row>
  </sheetData>
  <conditionalFormatting sqref="D8">
    <cfRule type="expression" dxfId="0" priority="2">
      <formula>ISNUMBER(FIND("*",#REF!))</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962"/>
  <sheetViews>
    <sheetView workbookViewId="0">
      <pane xSplit="1" ySplit="2" topLeftCell="B3" activePane="bottomRight" state="frozen"/>
      <selection pane="topRight"/>
      <selection pane="bottomLeft"/>
      <selection pane="bottomRight" activeCell="B3" sqref="B3"/>
    </sheetView>
  </sheetViews>
  <sheetFormatPr baseColWidth="10" defaultColWidth="0" defaultRowHeight="16" x14ac:dyDescent="0.2"/>
  <cols>
    <col min="1" max="1" width="8.75" style="311" customWidth="1"/>
    <col min="2" max="2" width="8.375" style="311" hidden="1" customWidth="1"/>
    <col min="3" max="3" width="35.625" style="311" customWidth="1"/>
    <col min="4" max="4" width="15.375" style="311" customWidth="1"/>
    <col min="5" max="6" width="12.625" style="311" customWidth="1"/>
    <col min="7" max="8" width="8.75" style="311"/>
    <col min="9" max="10" width="10.875" style="311" customWidth="1"/>
    <col min="11" max="11" width="11.25" style="311" customWidth="1"/>
    <col min="12" max="12" width="12" style="284" customWidth="1"/>
    <col min="13" max="14" width="13" customWidth="1"/>
    <col min="15" max="16" width="8.75" customWidth="1"/>
    <col min="17" max="22" width="8.75" style="284" customWidth="1"/>
    <col min="23" max="23" width="8.75" customWidth="1"/>
    <col min="24" max="16384" width="8.75" hidden="1"/>
  </cols>
  <sheetData>
    <row r="1" spans="1:22" hidden="1" x14ac:dyDescent="0.2">
      <c r="A1" s="312" t="s">
        <v>1966</v>
      </c>
    </row>
    <row r="2" spans="1:22" ht="84" customHeight="1" x14ac:dyDescent="0.2">
      <c r="A2" s="313" t="s">
        <v>513</v>
      </c>
      <c r="B2" s="313" t="s">
        <v>1967</v>
      </c>
      <c r="C2" s="313" t="s">
        <v>461</v>
      </c>
      <c r="D2" s="313" t="s">
        <v>522</v>
      </c>
      <c r="E2" s="313" t="s">
        <v>523</v>
      </c>
      <c r="F2" s="313" t="s">
        <v>1968</v>
      </c>
      <c r="G2" s="313" t="s">
        <v>463</v>
      </c>
      <c r="H2" s="313" t="s">
        <v>464</v>
      </c>
      <c r="I2" s="313" t="s">
        <v>465</v>
      </c>
      <c r="J2" s="313" t="s">
        <v>466</v>
      </c>
      <c r="K2" s="313" t="s">
        <v>1969</v>
      </c>
      <c r="L2" s="313" t="s">
        <v>1970</v>
      </c>
      <c r="M2" s="313" t="s">
        <v>1971</v>
      </c>
      <c r="N2" s="313" t="s">
        <v>1972</v>
      </c>
      <c r="O2" s="313" t="s">
        <v>1973</v>
      </c>
      <c r="P2" s="313" t="s">
        <v>1974</v>
      </c>
      <c r="Q2" s="314" t="s">
        <v>1975</v>
      </c>
      <c r="R2" s="314" t="s">
        <v>1976</v>
      </c>
      <c r="S2" s="314" t="s">
        <v>1977</v>
      </c>
      <c r="T2" s="314" t="s">
        <v>1978</v>
      </c>
      <c r="U2" s="314" t="s">
        <v>1979</v>
      </c>
      <c r="V2" s="314" t="s">
        <v>1980</v>
      </c>
    </row>
    <row r="3" spans="1:22" ht="55.5" customHeight="1" x14ac:dyDescent="0.2">
      <c r="A3" s="315" t="str">
        <f>Questions!$A3</f>
        <v>GNRL-01</v>
      </c>
      <c r="B3" s="315" t="str">
        <f t="shared" ref="B3:B66" si="0">LEFT(A3,4)</f>
        <v>GNRL</v>
      </c>
      <c r="C3" s="315" t="str">
        <f>VLOOKUP($A3,Questions!$A$3:$L$333,2,0)&amp;""</f>
        <v>Solution Provider Name</v>
      </c>
      <c r="D3" s="315" t="str">
        <f>VLOOKUP($A3,Questions!$A$3:$L$333,11,0)&amp;""</f>
        <v>NA</v>
      </c>
      <c r="E3" s="315" t="str">
        <f>VLOOKUP($A3,Questions!$A$3:$L$333,12,0)&amp;""</f>
        <v>Not Scored</v>
      </c>
      <c r="F3" s="315" t="str">
        <f>VLOOKUP($A3,'Institution Evaluation'!$A$56:$K$345,3,0)&amp;""</f>
        <v>SmartPLS GmbH</v>
      </c>
      <c r="G3" s="315" t="str">
        <f>VLOOKUP($A3,'Institution Evaluation'!$A$56:$K$345,7,0)&amp;""</f>
        <v>Not scored</v>
      </c>
      <c r="H3" s="315" t="str">
        <f>VLOOKUP($A3,'Institution Evaluation'!$A$56:$K$345,8,0)&amp;""</f>
        <v/>
      </c>
      <c r="I3" s="315" t="str">
        <f>VLOOKUP($A3,'Institution Evaluation'!$A$56:$K$345,9,0)&amp;""</f>
        <v/>
      </c>
      <c r="J3" s="315" t="str">
        <f>VLOOKUP($A3,'Institution Evaluation'!$A$56:$K$345,10,0)&amp;""</f>
        <v/>
      </c>
      <c r="K3" s="315">
        <f>IF($I3='Auto Responses'!$J$11,20,IF($I3='Auto Responses'!$J$13,5,10))</f>
        <v>10</v>
      </c>
      <c r="L3" s="284" t="str">
        <f>IF($E3='Auto Responses'!$L$13, 'Auto Responses'!$J$5,IF(AND($D3='Auto Responses'!$J$27,$H3=""),'Auto Responses'!$J$5,IF(AND($D3='Auto Responses'!$J$27,$H3='Auto Responses'!$J$7),1,IF(AND($D3='Auto Responses'!$J$27,$H3='Auto Responses'!$J$8),0,IF(OR(AND($F3=$G3,$H3=""),$H3='Auto Responses'!$J$7),1,0)))))</f>
        <v>N/A</v>
      </c>
      <c r="M3" s="315" t="str">
        <f>VLOOKUP($A3,'Institution Evaluation'!$A$56:$K$345,11,0)&amp;""</f>
        <v/>
      </c>
      <c r="N3" s="315">
        <f>IF($J3='Auto Responses'!$J$11,1,IF(AND($J3="",$I3='Auto Responses'!$J$11),1,0))</f>
        <v>0</v>
      </c>
      <c r="O3" s="284" t="str">
        <f>IF($E3='Auto Responses'!$L$13,'Auto Responses'!$J$5,IF($J3="",$K3,IF($J3='Auto Responses'!$J$13,5,IF($J3='Auto Responses'!$J$12,10,IF($J3='Auto Responses'!$J$11,20,0)))))</f>
        <v>N/A</v>
      </c>
      <c r="P3" s="284" t="str">
        <f>IF(OR($O3='Auto Responses'!$J$5,$L3='Auto Responses'!$J$5),'Auto Responses'!$J$5,$O3*$L3)</f>
        <v>N/A</v>
      </c>
      <c r="Q3" s="284">
        <f t="shared" ref="Q3:Q66" si="1">IF(M3="TRUE",1,0)</f>
        <v>0</v>
      </c>
      <c r="R3" s="284">
        <f>Q3</f>
        <v>0</v>
      </c>
      <c r="S3" s="284">
        <f t="shared" ref="S3:S66" si="2">IF(Q3=0,0,R3)</f>
        <v>0</v>
      </c>
      <c r="T3" s="284">
        <f t="shared" ref="T3:T66" si="3">IF(N3=1,1,0)</f>
        <v>0</v>
      </c>
      <c r="U3" s="284">
        <f>T3</f>
        <v>0</v>
      </c>
      <c r="V3" s="284">
        <f t="shared" ref="V3:V66" si="4">IF(T3=0,0,U3)</f>
        <v>0</v>
      </c>
    </row>
    <row r="4" spans="1:22" ht="55.5" customHeight="1" x14ac:dyDescent="0.2">
      <c r="A4" s="315" t="str">
        <f>Questions!$A4</f>
        <v>GNRL-02</v>
      </c>
      <c r="B4" s="315" t="str">
        <f t="shared" si="0"/>
        <v>GNRL</v>
      </c>
      <c r="C4" s="315" t="str">
        <f>VLOOKUP($A4,Questions!$A$3:$L$333,2,0)&amp;""</f>
        <v>Solution Name</v>
      </c>
      <c r="D4" s="315" t="str">
        <f>VLOOKUP($A4,Questions!$A$3:$L$333,11,0)&amp;""</f>
        <v>NA</v>
      </c>
      <c r="E4" s="315" t="str">
        <f>VLOOKUP($A4,Questions!$A$3:$L$333,12,0)&amp;""</f>
        <v>Not Scored</v>
      </c>
      <c r="F4" s="315" t="str">
        <f>VLOOKUP($A4,'Institution Evaluation'!$A$56:$K$345,3,0)&amp;""</f>
        <v>SmartPLS 4.1.1.9 (SmartPLS Desktop)</v>
      </c>
      <c r="G4" s="315" t="str">
        <f>VLOOKUP($A4,'Institution Evaluation'!$A$56:$K$345,7,0)&amp;""</f>
        <v>Not scored</v>
      </c>
      <c r="H4" s="315" t="str">
        <f>VLOOKUP($A4,'Institution Evaluation'!$A$56:$K$345,8,0)&amp;""</f>
        <v/>
      </c>
      <c r="I4" s="315" t="str">
        <f>VLOOKUP($A4,'Institution Evaluation'!$A$56:$K$345,9,0)&amp;""</f>
        <v/>
      </c>
      <c r="J4" s="315" t="str">
        <f>VLOOKUP($A4,'Institution Evaluation'!$A$56:$K$345,10,0)&amp;""</f>
        <v/>
      </c>
      <c r="K4" s="315">
        <f>IF($I4='Auto Responses'!$J$11,20,IF($I4='Auto Responses'!$J$13,5,10))</f>
        <v>10</v>
      </c>
      <c r="L4" s="284" t="str">
        <f>IF($E4='Auto Responses'!$L$13, 'Auto Responses'!$J$5,IF(AND($D4='Auto Responses'!$J$27,$H4=""),'Auto Responses'!$J$5,IF(AND($D4='Auto Responses'!$J$27,$H4='Auto Responses'!$J$7),1,IF(AND($D4='Auto Responses'!$J$27,$H4='Auto Responses'!$J$8),0,IF(OR(AND($F4=$G4,$H4=""),$H4='Auto Responses'!$J$7),1,0)))))</f>
        <v>N/A</v>
      </c>
      <c r="M4" s="315" t="str">
        <f>VLOOKUP($A4,'Institution Evaluation'!$A$56:$K$345,11,0)&amp;""</f>
        <v/>
      </c>
      <c r="N4" s="315">
        <f>IF($J4='Auto Responses'!$J$11,1,IF(AND($J4="",$I4='Auto Responses'!$J$11),1,0))</f>
        <v>0</v>
      </c>
      <c r="O4" s="284" t="str">
        <f>IF($E4='Auto Responses'!$L$13,'Auto Responses'!$J$5,IF($J4="",$K4,IF($J4='Auto Responses'!$J$13,5,IF($J4='Auto Responses'!$J$12,10,IF($J4='Auto Responses'!$J$11,20,0)))))</f>
        <v>N/A</v>
      </c>
      <c r="P4" s="284" t="str">
        <f>IF(OR($O4='Auto Responses'!$J$5,$L4='Auto Responses'!$J$5),'Auto Responses'!$J$5,$O4*$L4)</f>
        <v>N/A</v>
      </c>
      <c r="Q4" s="284">
        <f t="shared" si="1"/>
        <v>0</v>
      </c>
      <c r="R4" s="284">
        <f t="shared" ref="R4:R67" si="5">R3+Q4</f>
        <v>0</v>
      </c>
      <c r="S4" s="284">
        <f t="shared" si="2"/>
        <v>0</v>
      </c>
      <c r="T4" s="284">
        <f t="shared" si="3"/>
        <v>0</v>
      </c>
      <c r="U4" s="284">
        <f t="shared" ref="U4:U67" si="6">U3+T4</f>
        <v>0</v>
      </c>
      <c r="V4" s="284">
        <f t="shared" si="4"/>
        <v>0</v>
      </c>
    </row>
    <row r="5" spans="1:22" ht="55.5" customHeight="1" x14ac:dyDescent="0.2">
      <c r="A5" s="315" t="str">
        <f>Questions!$A5</f>
        <v>GNRL-03</v>
      </c>
      <c r="B5" s="315" t="str">
        <f t="shared" si="0"/>
        <v>GNRL</v>
      </c>
      <c r="C5" s="315" t="str">
        <f>VLOOKUP($A5,Questions!$A$3:$L$333,2,0)&amp;""</f>
        <v>Solution Description</v>
      </c>
      <c r="D5" s="315" t="str">
        <f>VLOOKUP($A5,Questions!$A$3:$L$333,11,0)&amp;""</f>
        <v>NA</v>
      </c>
      <c r="E5" s="315" t="str">
        <f>VLOOKUP($A5,Questions!$A$3:$L$333,12,0)&amp;""</f>
        <v>Not Scored</v>
      </c>
      <c r="F5" s="315" t="str">
        <f>VLOOKUP($A5,'Institution Evaluation'!$A$56:$K$345,3,0)&amp;""</f>
        <v>SmartPLS is a desktop software application for Partial Least Squares Structural Equation Modeling (PLS-SEM) and related multivariate statistical methods. It is used primarily by academic researchers, and increasingly by business analysts, to develop and test theoretical models using survey and other quantitative data.</v>
      </c>
      <c r="G5" s="315" t="str">
        <f>VLOOKUP($A5,'Institution Evaluation'!$A$56:$K$345,7,0)&amp;""</f>
        <v>Not scored</v>
      </c>
      <c r="H5" s="315" t="str">
        <f>VLOOKUP($A5,'Institution Evaluation'!$A$56:$K$345,8,0)&amp;""</f>
        <v/>
      </c>
      <c r="I5" s="315" t="str">
        <f>VLOOKUP($A5,'Institution Evaluation'!$A$56:$K$345,9,0)&amp;""</f>
        <v/>
      </c>
      <c r="J5" s="315" t="str">
        <f>VLOOKUP($A5,'Institution Evaluation'!$A$56:$K$345,10,0)&amp;""</f>
        <v/>
      </c>
      <c r="K5" s="315">
        <f>IF($I5='Auto Responses'!$J$11,20,IF($I5='Auto Responses'!$J$13,5,10))</f>
        <v>10</v>
      </c>
      <c r="L5" s="284" t="str">
        <f>IF($E5='Auto Responses'!$L$13, 'Auto Responses'!$J$5,IF(AND($D5='Auto Responses'!$J$27,$H5=""),'Auto Responses'!$J$5,IF(AND($D5='Auto Responses'!$J$27,$H5='Auto Responses'!$J$7),1,IF(AND($D5='Auto Responses'!$J$27,$H5='Auto Responses'!$J$8),0,IF(OR(AND($F5=$G5,$H5=""),$H5='Auto Responses'!$J$7),1,0)))))</f>
        <v>N/A</v>
      </c>
      <c r="M5" s="315" t="str">
        <f>VLOOKUP($A5,'Institution Evaluation'!$A$56:$K$345,11,0)&amp;""</f>
        <v/>
      </c>
      <c r="N5" s="315">
        <f>IF($J5='Auto Responses'!$J$11,1,IF(AND($J5="",$I5='Auto Responses'!$J$11),1,0))</f>
        <v>0</v>
      </c>
      <c r="O5" s="284" t="str">
        <f>IF($E5='Auto Responses'!$L$13,'Auto Responses'!$J$5,IF($J5="",$K5,IF($J5='Auto Responses'!$J$13,5,IF($J5='Auto Responses'!$J$12,10,IF($J5='Auto Responses'!$J$11,20,0)))))</f>
        <v>N/A</v>
      </c>
      <c r="P5" s="284" t="str">
        <f>IF(OR($O5='Auto Responses'!$J$5,$L5='Auto Responses'!$J$5),'Auto Responses'!$J$5,$O5*$L5)</f>
        <v>N/A</v>
      </c>
      <c r="Q5" s="284">
        <f t="shared" si="1"/>
        <v>0</v>
      </c>
      <c r="R5" s="284">
        <f t="shared" si="5"/>
        <v>0</v>
      </c>
      <c r="S5" s="284">
        <f t="shared" si="2"/>
        <v>0</v>
      </c>
      <c r="T5" s="284">
        <f t="shared" si="3"/>
        <v>0</v>
      </c>
      <c r="U5" s="284">
        <f t="shared" si="6"/>
        <v>0</v>
      </c>
      <c r="V5" s="284">
        <f t="shared" si="4"/>
        <v>0</v>
      </c>
    </row>
    <row r="6" spans="1:22" ht="55.5" customHeight="1" x14ac:dyDescent="0.2">
      <c r="A6" s="315" t="str">
        <f>Questions!$A6</f>
        <v>GNRL-04</v>
      </c>
      <c r="B6" s="315" t="str">
        <f t="shared" si="0"/>
        <v>GNRL</v>
      </c>
      <c r="C6" s="315" t="str">
        <f>VLOOKUP($A6,Questions!$A$3:$L$333,2,0)&amp;""</f>
        <v>Solution Provider Contact Name</v>
      </c>
      <c r="D6" s="315" t="str">
        <f>VLOOKUP($A6,Questions!$A$3:$L$333,11,0)&amp;""</f>
        <v>NA</v>
      </c>
      <c r="E6" s="315" t="str">
        <f>VLOOKUP($A6,Questions!$A$3:$L$333,12,0)&amp;""</f>
        <v>Not Scored</v>
      </c>
      <c r="F6" s="315" t="str">
        <f>VLOOKUP($A6,'Institution Evaluation'!$A$56:$K$345,3,0)&amp;""</f>
        <v>Sven Wende</v>
      </c>
      <c r="G6" s="315" t="str">
        <f>VLOOKUP($A6,'Institution Evaluation'!$A$56:$K$345,7,0)&amp;""</f>
        <v>Not scored</v>
      </c>
      <c r="H6" s="315" t="str">
        <f>VLOOKUP($A6,'Institution Evaluation'!$A$56:$K$345,8,0)&amp;""</f>
        <v/>
      </c>
      <c r="I6" s="315" t="str">
        <f>VLOOKUP($A6,'Institution Evaluation'!$A$56:$K$345,9,0)&amp;""</f>
        <v/>
      </c>
      <c r="J6" s="315" t="str">
        <f>VLOOKUP($A6,'Institution Evaluation'!$A$56:$K$345,10,0)&amp;""</f>
        <v/>
      </c>
      <c r="K6" s="315">
        <f>IF($I6='Auto Responses'!$J$11,20,IF($I6='Auto Responses'!$J$13,5,10))</f>
        <v>10</v>
      </c>
      <c r="L6" s="284" t="str">
        <f>IF($E6='Auto Responses'!$L$13, 'Auto Responses'!$J$5,IF(AND($D6='Auto Responses'!$J$27,$H6=""),'Auto Responses'!$J$5,IF(AND($D6='Auto Responses'!$J$27,$H6='Auto Responses'!$J$7),1,IF(AND($D6='Auto Responses'!$J$27,$H6='Auto Responses'!$J$8),0,IF(OR(AND($F6=$G6,$H6=""),$H6='Auto Responses'!$J$7),1,0)))))</f>
        <v>N/A</v>
      </c>
      <c r="M6" s="315" t="str">
        <f>VLOOKUP($A6,'Institution Evaluation'!$A$56:$K$345,11,0)&amp;""</f>
        <v/>
      </c>
      <c r="N6" s="315">
        <f>IF($J6='Auto Responses'!$J$11,1,IF(AND($J6="",$I6='Auto Responses'!$J$11),1,0))</f>
        <v>0</v>
      </c>
      <c r="O6" s="284" t="str">
        <f>IF($E6='Auto Responses'!$L$13,'Auto Responses'!$J$5,IF($J6="",$K6,IF($J6='Auto Responses'!$J$13,5,IF($J6='Auto Responses'!$J$12,10,IF($J6='Auto Responses'!$J$11,20,0)))))</f>
        <v>N/A</v>
      </c>
      <c r="P6" s="284" t="str">
        <f>IF(OR($O6='Auto Responses'!$J$5,$L6='Auto Responses'!$J$5),'Auto Responses'!$J$5,$O6*$L6)</f>
        <v>N/A</v>
      </c>
      <c r="Q6" s="284">
        <f t="shared" si="1"/>
        <v>0</v>
      </c>
      <c r="R6" s="284">
        <f t="shared" si="5"/>
        <v>0</v>
      </c>
      <c r="S6" s="284">
        <f t="shared" si="2"/>
        <v>0</v>
      </c>
      <c r="T6" s="284">
        <f t="shared" si="3"/>
        <v>0</v>
      </c>
      <c r="U6" s="284">
        <f t="shared" si="6"/>
        <v>0</v>
      </c>
      <c r="V6" s="284">
        <f t="shared" si="4"/>
        <v>0</v>
      </c>
    </row>
    <row r="7" spans="1:22" ht="55.5" customHeight="1" x14ac:dyDescent="0.2">
      <c r="A7" s="315" t="str">
        <f>Questions!$A7</f>
        <v>GNRL-05</v>
      </c>
      <c r="B7" s="315" t="str">
        <f t="shared" si="0"/>
        <v>GNRL</v>
      </c>
      <c r="C7" s="315" t="str">
        <f>VLOOKUP($A7,Questions!$A$3:$L$333,2,0)&amp;""</f>
        <v>Solution Provider Contact Title</v>
      </c>
      <c r="D7" s="315" t="str">
        <f>VLOOKUP($A7,Questions!$A$3:$L$333,11,0)&amp;""</f>
        <v>NA</v>
      </c>
      <c r="E7" s="315" t="str">
        <f>VLOOKUP($A7,Questions!$A$3:$L$333,12,0)&amp;""</f>
        <v>Not Scored</v>
      </c>
      <c r="F7" s="315" t="str">
        <f>VLOOKUP($A7,'Institution Evaluation'!$A$56:$K$345,3,0)&amp;""</f>
        <v>Co-Founder &amp; Managing Director</v>
      </c>
      <c r="G7" s="315" t="str">
        <f>VLOOKUP($A7,'Institution Evaluation'!$A$56:$K$345,7,0)&amp;""</f>
        <v>Not scored</v>
      </c>
      <c r="H7" s="315" t="str">
        <f>VLOOKUP($A7,'Institution Evaluation'!$A$56:$K$345,8,0)&amp;""</f>
        <v/>
      </c>
      <c r="I7" s="315" t="str">
        <f>VLOOKUP($A7,'Institution Evaluation'!$A$56:$K$345,9,0)&amp;""</f>
        <v/>
      </c>
      <c r="J7" s="315" t="str">
        <f>VLOOKUP($A7,'Institution Evaluation'!$A$56:$K$345,10,0)&amp;""</f>
        <v/>
      </c>
      <c r="K7" s="315">
        <f>IF($I7='Auto Responses'!$J$11,20,IF($I7='Auto Responses'!$J$13,5,10))</f>
        <v>10</v>
      </c>
      <c r="L7" s="284" t="str">
        <f>IF($E7='Auto Responses'!$L$13, 'Auto Responses'!$J$5,IF(AND($D7='Auto Responses'!$J$27,$H7=""),'Auto Responses'!$J$5,IF(AND($D7='Auto Responses'!$J$27,$H7='Auto Responses'!$J$7),1,IF(AND($D7='Auto Responses'!$J$27,$H7='Auto Responses'!$J$8),0,IF(OR(AND($F7=$G7,$H7=""),$H7='Auto Responses'!$J$7),1,0)))))</f>
        <v>N/A</v>
      </c>
      <c r="M7" s="315" t="str">
        <f>VLOOKUP($A7,'Institution Evaluation'!$A$56:$K$345,11,0)&amp;""</f>
        <v/>
      </c>
      <c r="N7" s="315">
        <f>IF($J7='Auto Responses'!$J$11,1,IF(AND($J7="",$I7='Auto Responses'!$J$11),1,0))</f>
        <v>0</v>
      </c>
      <c r="O7" s="284" t="str">
        <f>IF($E7='Auto Responses'!$L$13,'Auto Responses'!$J$5,IF($J7="",$K7,IF($J7='Auto Responses'!$J$13,5,IF($J7='Auto Responses'!$J$12,10,IF($J7='Auto Responses'!$J$11,20,0)))))</f>
        <v>N/A</v>
      </c>
      <c r="P7" s="284" t="str">
        <f>IF(OR($O7='Auto Responses'!$J$5,$L7='Auto Responses'!$J$5),'Auto Responses'!$J$5,$O7*$L7)</f>
        <v>N/A</v>
      </c>
      <c r="Q7" s="284">
        <f t="shared" si="1"/>
        <v>0</v>
      </c>
      <c r="R7" s="284">
        <f t="shared" si="5"/>
        <v>0</v>
      </c>
      <c r="S7" s="284">
        <f t="shared" si="2"/>
        <v>0</v>
      </c>
      <c r="T7" s="284">
        <f t="shared" si="3"/>
        <v>0</v>
      </c>
      <c r="U7" s="284">
        <f t="shared" si="6"/>
        <v>0</v>
      </c>
      <c r="V7" s="284">
        <f t="shared" si="4"/>
        <v>0</v>
      </c>
    </row>
    <row r="8" spans="1:22" ht="55.5" customHeight="1" x14ac:dyDescent="0.2">
      <c r="A8" s="315" t="str">
        <f>Questions!$A8</f>
        <v>GNRL-06</v>
      </c>
      <c r="B8" s="315" t="str">
        <f t="shared" si="0"/>
        <v>GNRL</v>
      </c>
      <c r="C8" s="315" t="str">
        <f>VLOOKUP($A8,Questions!$A$3:$L$333,2,0)&amp;""</f>
        <v>Solution Provider Contact Email</v>
      </c>
      <c r="D8" s="315" t="str">
        <f>VLOOKUP($A8,Questions!$A$3:$L$333,11,0)&amp;""</f>
        <v>NA</v>
      </c>
      <c r="E8" s="315" t="str">
        <f>VLOOKUP($A8,Questions!$A$3:$L$333,12,0)&amp;""</f>
        <v>Not Scored</v>
      </c>
      <c r="F8" s="315" t="str">
        <f>VLOOKUP($A8,'Institution Evaluation'!$A$56:$K$345,3,0)&amp;""</f>
        <v>s.wende@smartpls.gmbh</v>
      </c>
      <c r="G8" s="315" t="str">
        <f>VLOOKUP($A8,'Institution Evaluation'!$A$56:$K$345,7,0)&amp;""</f>
        <v>Not scored</v>
      </c>
      <c r="H8" s="315" t="str">
        <f>VLOOKUP($A8,'Institution Evaluation'!$A$56:$K$345,8,0)&amp;""</f>
        <v/>
      </c>
      <c r="I8" s="315" t="str">
        <f>VLOOKUP($A8,'Institution Evaluation'!$A$56:$K$345,9,0)&amp;""</f>
        <v/>
      </c>
      <c r="J8" s="315" t="str">
        <f>VLOOKUP($A8,'Institution Evaluation'!$A$56:$K$345,10,0)&amp;""</f>
        <v/>
      </c>
      <c r="K8" s="315">
        <f>IF($I8='Auto Responses'!$J$11,20,IF($I8='Auto Responses'!$J$13,5,10))</f>
        <v>10</v>
      </c>
      <c r="L8" s="284" t="str">
        <f>IF($E8='Auto Responses'!$L$13, 'Auto Responses'!$J$5,IF(AND($D8='Auto Responses'!$J$27,$H8=""),'Auto Responses'!$J$5,IF(AND($D8='Auto Responses'!$J$27,$H8='Auto Responses'!$J$7),1,IF(AND($D8='Auto Responses'!$J$27,$H8='Auto Responses'!$J$8),0,IF(OR(AND($F8=$G8,$H8=""),$H8='Auto Responses'!$J$7),1,0)))))</f>
        <v>N/A</v>
      </c>
      <c r="M8" s="315" t="str">
        <f>VLOOKUP($A8,'Institution Evaluation'!$A$56:$K$345,11,0)&amp;""</f>
        <v/>
      </c>
      <c r="N8" s="315">
        <f>IF($J8='Auto Responses'!$J$11,1,IF(AND($J8="",$I8='Auto Responses'!$J$11),1,0))</f>
        <v>0</v>
      </c>
      <c r="O8" s="284" t="str">
        <f>IF($E8='Auto Responses'!$L$13,'Auto Responses'!$J$5,IF($J8="",$K8,IF($J8='Auto Responses'!$J$13,5,IF($J8='Auto Responses'!$J$12,10,IF($J8='Auto Responses'!$J$11,20,0)))))</f>
        <v>N/A</v>
      </c>
      <c r="P8" s="284" t="str">
        <f>IF(OR($O8='Auto Responses'!$J$5,$L8='Auto Responses'!$J$5),'Auto Responses'!$J$5,$O8*$L8)</f>
        <v>N/A</v>
      </c>
      <c r="Q8" s="284">
        <f t="shared" si="1"/>
        <v>0</v>
      </c>
      <c r="R8" s="284">
        <f t="shared" si="5"/>
        <v>0</v>
      </c>
      <c r="S8" s="284">
        <f t="shared" si="2"/>
        <v>0</v>
      </c>
      <c r="T8" s="284">
        <f t="shared" si="3"/>
        <v>0</v>
      </c>
      <c r="U8" s="284">
        <f t="shared" si="6"/>
        <v>0</v>
      </c>
      <c r="V8" s="284">
        <f t="shared" si="4"/>
        <v>0</v>
      </c>
    </row>
    <row r="9" spans="1:22" ht="55.5" customHeight="1" x14ac:dyDescent="0.2">
      <c r="A9" s="315" t="str">
        <f>Questions!$A9</f>
        <v>GNRL-07</v>
      </c>
      <c r="B9" s="315" t="str">
        <f t="shared" si="0"/>
        <v>GNRL</v>
      </c>
      <c r="C9" s="315" t="str">
        <f>VLOOKUP($A9,Questions!$A$3:$L$333,2,0)&amp;""</f>
        <v>Solution Provider Contact Phone Number</v>
      </c>
      <c r="D9" s="315" t="str">
        <f>VLOOKUP($A9,Questions!$A$3:$L$333,11,0)&amp;""</f>
        <v>NA</v>
      </c>
      <c r="E9" s="315" t="str">
        <f>VLOOKUP($A9,Questions!$A$3:$L$333,12,0)&amp;""</f>
        <v>Not Scored</v>
      </c>
      <c r="F9" s="315" t="str">
        <f>VLOOKUP($A9,'Institution Evaluation'!$A$56:$K$345,3,0)&amp;""</f>
        <v>+49 02173 2643460</v>
      </c>
      <c r="G9" s="315" t="str">
        <f>VLOOKUP($A9,'Institution Evaluation'!$A$56:$K$345,7,0)&amp;""</f>
        <v>Not scored</v>
      </c>
      <c r="H9" s="315" t="str">
        <f>VLOOKUP($A9,'Institution Evaluation'!$A$56:$K$345,8,0)&amp;""</f>
        <v/>
      </c>
      <c r="I9" s="315" t="str">
        <f>VLOOKUP($A9,'Institution Evaluation'!$A$56:$K$345,9,0)&amp;""</f>
        <v/>
      </c>
      <c r="J9" s="315" t="str">
        <f>VLOOKUP($A9,'Institution Evaluation'!$A$56:$K$345,10,0)&amp;""</f>
        <v/>
      </c>
      <c r="K9" s="315">
        <f>IF($I9='Auto Responses'!$J$11,20,IF($I9='Auto Responses'!$J$13,5,10))</f>
        <v>10</v>
      </c>
      <c r="L9" s="284" t="str">
        <f>IF($E9='Auto Responses'!$L$13, 'Auto Responses'!$J$5,IF(AND($D9='Auto Responses'!$J$27,$H9=""),'Auto Responses'!$J$5,IF(AND($D9='Auto Responses'!$J$27,$H9='Auto Responses'!$J$7),1,IF(AND($D9='Auto Responses'!$J$27,$H9='Auto Responses'!$J$8),0,IF(OR(AND($F9=$G9,$H9=""),$H9='Auto Responses'!$J$7),1,0)))))</f>
        <v>N/A</v>
      </c>
      <c r="M9" s="315" t="str">
        <f>VLOOKUP($A9,'Institution Evaluation'!$A$56:$K$345,11,0)&amp;""</f>
        <v/>
      </c>
      <c r="N9" s="315">
        <f>IF($J9='Auto Responses'!$J$11,1,IF(AND($J9="",$I9='Auto Responses'!$J$11),1,0))</f>
        <v>0</v>
      </c>
      <c r="O9" s="284" t="str">
        <f>IF($E9='Auto Responses'!$L$13,'Auto Responses'!$J$5,IF($J9="",$K9,IF($J9='Auto Responses'!$J$13,5,IF($J9='Auto Responses'!$J$12,10,IF($J9='Auto Responses'!$J$11,20,0)))))</f>
        <v>N/A</v>
      </c>
      <c r="P9" s="284" t="str">
        <f>IF(OR($O9='Auto Responses'!$J$5,$L9='Auto Responses'!$J$5),'Auto Responses'!$J$5,$O9*$L9)</f>
        <v>N/A</v>
      </c>
      <c r="Q9" s="284">
        <f t="shared" si="1"/>
        <v>0</v>
      </c>
      <c r="R9" s="284">
        <f t="shared" si="5"/>
        <v>0</v>
      </c>
      <c r="S9" s="284">
        <f t="shared" si="2"/>
        <v>0</v>
      </c>
      <c r="T9" s="284">
        <f t="shared" si="3"/>
        <v>0</v>
      </c>
      <c r="U9" s="284">
        <f t="shared" si="6"/>
        <v>0</v>
      </c>
      <c r="V9" s="284">
        <f t="shared" si="4"/>
        <v>0</v>
      </c>
    </row>
    <row r="10" spans="1:22" ht="55.5" customHeight="1" x14ac:dyDescent="0.2">
      <c r="A10" s="315" t="str">
        <f>Questions!$A10</f>
        <v>GNRL-08</v>
      </c>
      <c r="B10" s="315" t="str">
        <f t="shared" si="0"/>
        <v>GNRL</v>
      </c>
      <c r="C10" s="315" t="str">
        <f>VLOOKUP($A10,Questions!$A$3:$L$333,2,0)&amp;""</f>
        <v>Country of Company Headquarters</v>
      </c>
      <c r="D10" s="315" t="str">
        <f>VLOOKUP($A10,Questions!$A$3:$L$333,11,0)&amp;""</f>
        <v>NA</v>
      </c>
      <c r="E10" s="315" t="str">
        <f>VLOOKUP($A10,Questions!$A$3:$L$333,12,0)&amp;""</f>
        <v>Not Scored</v>
      </c>
      <c r="F10" s="315" t="str">
        <f>VLOOKUP($A10,'Institution Evaluation'!$A$56:$K$345,3,0)&amp;""</f>
        <v>Germany</v>
      </c>
      <c r="G10" s="315" t="str">
        <f>VLOOKUP($A10,'Institution Evaluation'!$A$56:$K$345,7,0)&amp;""</f>
        <v>Not scored</v>
      </c>
      <c r="H10" s="315" t="str">
        <f>VLOOKUP($A10,'Institution Evaluation'!$A$56:$K$345,8,0)&amp;""</f>
        <v/>
      </c>
      <c r="I10" s="315" t="str">
        <f>VLOOKUP($A10,'Institution Evaluation'!$A$56:$K$345,9,0)&amp;""</f>
        <v/>
      </c>
      <c r="J10" s="315" t="str">
        <f>VLOOKUP($A10,'Institution Evaluation'!$A$56:$K$345,10,0)&amp;""</f>
        <v/>
      </c>
      <c r="K10" s="315">
        <f>IF($I10='Auto Responses'!$J$11,20,IF($I10='Auto Responses'!$J$13,5,10))</f>
        <v>10</v>
      </c>
      <c r="L10" s="284" t="str">
        <f>IF($E10='Auto Responses'!$L$13, 'Auto Responses'!$J$5,IF(AND($D10='Auto Responses'!$J$27,$H10=""),'Auto Responses'!$J$5,IF(AND($D10='Auto Responses'!$J$27,$H10='Auto Responses'!$J$7),1,IF(AND($D10='Auto Responses'!$J$27,$H10='Auto Responses'!$J$8),0,IF(OR(AND($F10=$G10,$H10=""),$H10='Auto Responses'!$J$7),1,0)))))</f>
        <v>N/A</v>
      </c>
      <c r="M10" s="315" t="str">
        <f>VLOOKUP($A10,'Institution Evaluation'!$A$56:$K$345,11,0)&amp;""</f>
        <v/>
      </c>
      <c r="N10" s="315">
        <f>IF($J10='Auto Responses'!$J$11,1,IF(AND($J10="",$I10='Auto Responses'!$J$11),1,0))</f>
        <v>0</v>
      </c>
      <c r="O10" s="284" t="str">
        <f>IF($E10='Auto Responses'!$L$13,'Auto Responses'!$J$5,IF($J10="",$K10,IF($J10='Auto Responses'!$J$13,5,IF($J10='Auto Responses'!$J$12,10,IF($J10='Auto Responses'!$J$11,20,0)))))</f>
        <v>N/A</v>
      </c>
      <c r="P10" s="284" t="str">
        <f>IF(OR($O10='Auto Responses'!$J$5,$L10='Auto Responses'!$J$5),'Auto Responses'!$J$5,$O10*$L10)</f>
        <v>N/A</v>
      </c>
      <c r="Q10" s="284">
        <f t="shared" si="1"/>
        <v>0</v>
      </c>
      <c r="R10" s="284">
        <f t="shared" si="5"/>
        <v>0</v>
      </c>
      <c r="S10" s="284">
        <f t="shared" si="2"/>
        <v>0</v>
      </c>
      <c r="T10" s="284">
        <f t="shared" si="3"/>
        <v>0</v>
      </c>
      <c r="U10" s="284">
        <f t="shared" si="6"/>
        <v>0</v>
      </c>
      <c r="V10" s="284">
        <f t="shared" si="4"/>
        <v>0</v>
      </c>
    </row>
    <row r="11" spans="1:22" ht="55.5" customHeight="1" x14ac:dyDescent="0.2">
      <c r="A11" s="315" t="str">
        <f>Questions!$A11</f>
        <v>GNRL-09</v>
      </c>
      <c r="B11" s="315" t="str">
        <f t="shared" si="0"/>
        <v>GNRL</v>
      </c>
      <c r="C11" s="315" t="str">
        <f>VLOOKUP($A11,Questions!$A$3:$L$333,2,0)&amp;""</f>
        <v>Employee Work Locations (all)</v>
      </c>
      <c r="D11" s="315" t="s">
        <v>535</v>
      </c>
      <c r="E11" s="315" t="str">
        <f>VLOOKUP($A11,Questions!$A$3:$L$333,12,0)&amp;""</f>
        <v>Not Scored</v>
      </c>
      <c r="F11" s="315" t="str">
        <f>VLOOKUP($A11,'Institution Evaluation'!$A$56:$K$345,3,0)&amp;""</f>
        <v>Germany, Norway</v>
      </c>
      <c r="G11" s="315" t="str">
        <f>VLOOKUP($A11,'Institution Evaluation'!$A$56:$K$345,7,0)&amp;""</f>
        <v>Not scored</v>
      </c>
      <c r="H11" s="315" t="str">
        <f>VLOOKUP($A11,'Institution Evaluation'!$A$56:$K$345,8,0)&amp;""</f>
        <v/>
      </c>
      <c r="I11" s="315" t="str">
        <f>VLOOKUP($A11,'Institution Evaluation'!$A$56:$K$345,9,0)&amp;""</f>
        <v/>
      </c>
      <c r="J11" s="315" t="str">
        <f>VLOOKUP($A11,'Institution Evaluation'!$A$56:$K$345,10,0)&amp;""</f>
        <v/>
      </c>
      <c r="K11" s="315">
        <f>IF($I11='Auto Responses'!$J$11,20,IF($I11='Auto Responses'!$J$13,5,10))</f>
        <v>10</v>
      </c>
      <c r="L11" s="284" t="str">
        <f>IF($E11='Auto Responses'!$L$13, 'Auto Responses'!$J$5,IF(AND($D11='Auto Responses'!$J$27,$H11=""),'Auto Responses'!$J$5,IF(AND($D11='Auto Responses'!$J$27,$H11='Auto Responses'!$J$7),1,IF(AND($D11='Auto Responses'!$J$27,$H11='Auto Responses'!$J$8),0,IF(OR(AND($F11=$G11,$H11=""),$H11='Auto Responses'!$J$7),1,0)))))</f>
        <v>N/A</v>
      </c>
      <c r="M11" s="315" t="str">
        <f>VLOOKUP($A11,'Institution Evaluation'!$A$56:$K$345,11,0)&amp;""</f>
        <v/>
      </c>
      <c r="N11" s="315">
        <f>IF($J11='Auto Responses'!$J$11,1,IF(AND($J11="",$I11='Auto Responses'!$J$11),1,0))</f>
        <v>0</v>
      </c>
      <c r="O11" s="284" t="str">
        <f>IF($E11='Auto Responses'!$L$13,'Auto Responses'!$J$5,IF($J11="",$K11,IF($J11='Auto Responses'!$J$13,5,IF($J11='Auto Responses'!$J$12,10,IF($J11='Auto Responses'!$J$11,20,0)))))</f>
        <v>N/A</v>
      </c>
      <c r="P11" s="284" t="str">
        <f>IF(OR($O11='Auto Responses'!$J$5,$L11='Auto Responses'!$J$5),'Auto Responses'!$J$5,$O11*$L11)</f>
        <v>N/A</v>
      </c>
      <c r="Q11" s="284">
        <f t="shared" si="1"/>
        <v>0</v>
      </c>
      <c r="R11" s="284">
        <f t="shared" si="5"/>
        <v>0</v>
      </c>
      <c r="S11" s="284">
        <f t="shared" si="2"/>
        <v>0</v>
      </c>
      <c r="T11" s="284">
        <f t="shared" si="3"/>
        <v>0</v>
      </c>
      <c r="U11" s="284">
        <f t="shared" si="6"/>
        <v>0</v>
      </c>
      <c r="V11" s="284">
        <f t="shared" si="4"/>
        <v>0</v>
      </c>
    </row>
    <row r="12" spans="1:22" ht="55.5" customHeight="1" x14ac:dyDescent="0.2">
      <c r="A12" s="315" t="str">
        <f>Questions!$A12</f>
        <v>COMP-01</v>
      </c>
      <c r="B12" s="315" t="str">
        <f t="shared" si="0"/>
        <v>COMP</v>
      </c>
      <c r="C12" s="315" t="str">
        <f>VLOOKUP($A12,Questions!$A$3:$L$333,2,0)&amp;""</f>
        <v>Do you have a dedicated software and system development team(s) (e.g., customer support, implementation, product management, etc.)?*</v>
      </c>
      <c r="D12" s="315" t="str">
        <f>VLOOKUP($A12,Questions!$A$3:$L$333,11,0)&amp;""</f>
        <v/>
      </c>
      <c r="E12" s="315" t="str">
        <f>VLOOKUP($A12,Questions!$A$3:$L$333,12,0)&amp;""</f>
        <v>Start Here</v>
      </c>
      <c r="F12" s="315" t="str">
        <f>VLOOKUP($A12,'Institution Evaluation'!$A$56:$K$345,3,0)&amp;""</f>
        <v>No</v>
      </c>
      <c r="G12" s="315" t="str">
        <f>VLOOKUP($A12,'Institution Evaluation'!$A$56:$K$345,7,0)&amp;""</f>
        <v>Yes</v>
      </c>
      <c r="H12" s="315" t="str">
        <f>VLOOKUP($A12,'Institution Evaluation'!$A$56:$K$345,8,0)&amp;""</f>
        <v/>
      </c>
      <c r="I12" s="315" t="str">
        <f>VLOOKUP($A12,'Institution Evaluation'!$A$56:$K$345,9,0)&amp;""</f>
        <v>Standard Importance</v>
      </c>
      <c r="J12" s="315" t="str">
        <f>VLOOKUP($A12,'Institution Evaluation'!$A$56:$K$345,10,0)&amp;""</f>
        <v/>
      </c>
      <c r="K12" s="315">
        <f>IF($I12='Auto Responses'!$J$11,20,IF($I12='Auto Responses'!$J$13,5,10))</f>
        <v>10</v>
      </c>
      <c r="L12" s="284">
        <f>IF($E12='Auto Responses'!$L$13, 'Auto Responses'!$J$5,IF(AND($D12='Auto Responses'!$J$27,$H12=""),'Auto Responses'!$J$5,IF(AND($D12='Auto Responses'!$J$27,$H12='Auto Responses'!$J$7),1,IF(AND($D12='Auto Responses'!$J$27,$H12='Auto Responses'!$J$8),0,IF(OR(AND($F12=$G12,$H12=""),$H12='Auto Responses'!$J$7),1,0)))))</f>
        <v>0</v>
      </c>
      <c r="M12" s="315" t="str">
        <f>VLOOKUP($A12,'Institution Evaluation'!$A$56:$K$345,11,0)&amp;""</f>
        <v>FALSCH</v>
      </c>
      <c r="N12" s="315">
        <f>IF($J12='Auto Responses'!$J$11,1,IF(AND($J12="",$I12='Auto Responses'!$J$11),1,0))</f>
        <v>0</v>
      </c>
      <c r="O12" s="284">
        <f>IF(OR($E12='Auto Responses'!$L$13,$F12='Auto Responses'!$J$5),'Auto Responses'!$J$5,IF($J12="",$K12,IF($J12='Auto Responses'!$J$13,5,IF($J12='Auto Responses'!$J$12,10,IF($J12='Auto Responses'!$J$11,20,0)))))</f>
        <v>10</v>
      </c>
      <c r="P12" s="284">
        <f>IF(OR($O12='Auto Responses'!$J$5,$L12='Auto Responses'!$J$5),'Auto Responses'!$J$5,$O12*$L12)</f>
        <v>0</v>
      </c>
      <c r="Q12" s="284">
        <f t="shared" si="1"/>
        <v>0</v>
      </c>
      <c r="R12" s="284">
        <f t="shared" si="5"/>
        <v>0</v>
      </c>
      <c r="S12" s="284">
        <f t="shared" si="2"/>
        <v>0</v>
      </c>
      <c r="T12" s="284">
        <f t="shared" si="3"/>
        <v>0</v>
      </c>
      <c r="U12" s="284">
        <f t="shared" si="6"/>
        <v>0</v>
      </c>
      <c r="V12" s="284">
        <f t="shared" si="4"/>
        <v>0</v>
      </c>
    </row>
    <row r="13" spans="1:22" ht="55.5" customHeight="1" x14ac:dyDescent="0.2">
      <c r="A13" s="315" t="str">
        <f>Questions!$A13</f>
        <v>COMP-02</v>
      </c>
      <c r="B13" s="315" t="str">
        <f t="shared" si="0"/>
        <v>COMP</v>
      </c>
      <c r="C13" s="315" t="str">
        <f>VLOOKUP($A13,Questions!$A$3:$L$333,2,0)&amp;""</f>
        <v>Describe your organization’s business background and ownership structure, including all parent and subsidiary relationships.</v>
      </c>
      <c r="D13" s="315" t="str">
        <f>VLOOKUP($A13,Questions!$A$3:$L$333,11,0)&amp;""</f>
        <v/>
      </c>
      <c r="E13" s="315" t="str">
        <f>VLOOKUP($A13,Questions!$A$3:$L$333,12,0)&amp;""</f>
        <v>Not scored</v>
      </c>
      <c r="F13" s="315" t="str">
        <f>VLOOKUP($A13,'Institution Evaluation'!$A$56:$K$345,3,0)&amp;""</f>
        <v>SmartPLS GmbH is a privately held, founder-owned German Gesellschaft mit beschränkter Haftung (GmbH), headquartered in Bönningstedt, Germany. It has three shareholders, who are also its only personnel (two based in Germany, one in Norway). SmartPLS GmbH has no parent company and no subsidiaries.</v>
      </c>
      <c r="G13" s="315" t="str">
        <f>VLOOKUP($A13,'Institution Evaluation'!$A$56:$K$345,7,0)&amp;""</f>
        <v>Not scored</v>
      </c>
      <c r="H13" s="315" t="str">
        <f>VLOOKUP($A13,'Institution Evaluation'!$A$56:$K$345,8,0)&amp;""</f>
        <v/>
      </c>
      <c r="I13" s="315" t="str">
        <f>VLOOKUP($A13,'Institution Evaluation'!$A$56:$K$345,9,0)&amp;""</f>
        <v/>
      </c>
      <c r="J13" s="315" t="str">
        <f>VLOOKUP($A13,'Institution Evaluation'!$A$56:$K$345,10,0)&amp;""</f>
        <v/>
      </c>
      <c r="K13" s="315">
        <f>IF($I13='Auto Responses'!$J$11,20,IF($I13='Auto Responses'!$J$13,5,10))</f>
        <v>10</v>
      </c>
      <c r="L13" s="284" t="str">
        <f>IF($E13='Auto Responses'!$L$13, 'Auto Responses'!$J$5,IF(AND($D13='Auto Responses'!$J$27,$H13=""),'Auto Responses'!$J$5,IF(AND($D13='Auto Responses'!$J$27,$H13='Auto Responses'!$J$7),1,IF(AND($D13='Auto Responses'!$J$27,$H13='Auto Responses'!$J$8),0,IF(OR(AND($F13=$G13,$H13=""),$H13='Auto Responses'!$J$7),1,0)))))</f>
        <v>N/A</v>
      </c>
      <c r="M13" s="315" t="str">
        <f>VLOOKUP($A13,'Institution Evaluation'!$A$56:$K$345,11,0)&amp;""</f>
        <v>FALSCH</v>
      </c>
      <c r="N13" s="315">
        <f>IF($J13='Auto Responses'!$J$11,1,IF(AND($J13="",$I13='Auto Responses'!$J$11),1,0))</f>
        <v>0</v>
      </c>
      <c r="O13" s="284" t="str">
        <f>IF(OR($E13='Auto Responses'!$L$13,$F13='Auto Responses'!$J$5),'Auto Responses'!$J$5,IF($J13="",$K13,IF($J13='Auto Responses'!$J$13,5,IF($J13='Auto Responses'!$J$12,10,IF($J13='Auto Responses'!$J$11,20,0)))))</f>
        <v>N/A</v>
      </c>
      <c r="P13" s="284" t="str">
        <f>IF(OR($O13='Auto Responses'!$J$5,$L13='Auto Responses'!$J$5),'Auto Responses'!$J$5,$O13*$L13)</f>
        <v>N/A</v>
      </c>
      <c r="Q13" s="284">
        <f t="shared" si="1"/>
        <v>0</v>
      </c>
      <c r="R13" s="284">
        <f t="shared" si="5"/>
        <v>0</v>
      </c>
      <c r="S13" s="284">
        <f t="shared" si="2"/>
        <v>0</v>
      </c>
      <c r="T13" s="284">
        <f t="shared" si="3"/>
        <v>0</v>
      </c>
      <c r="U13" s="284">
        <f t="shared" si="6"/>
        <v>0</v>
      </c>
      <c r="V13" s="284">
        <f t="shared" si="4"/>
        <v>0</v>
      </c>
    </row>
    <row r="14" spans="1:22" ht="55.5" customHeight="1" x14ac:dyDescent="0.2">
      <c r="A14" s="315" t="str">
        <f>Questions!$A14</f>
        <v>COMP-03</v>
      </c>
      <c r="B14" s="315" t="str">
        <f t="shared" si="0"/>
        <v>COMP</v>
      </c>
      <c r="C14" s="315" t="str">
        <f>VLOOKUP($A14,Questions!$A$3:$L$333,2,0)&amp;""</f>
        <v>Have you operated without unplanned disruptions to this solution in the past 12 months?</v>
      </c>
      <c r="D14" s="315" t="str">
        <f>VLOOKUP($A14,Questions!$A$3:$L$333,11,0)&amp;""</f>
        <v/>
      </c>
      <c r="E14" s="315" t="str">
        <f>VLOOKUP($A14,Questions!$A$3:$L$333,12,0)&amp;""</f>
        <v>Start Here</v>
      </c>
      <c r="F14" s="315" t="str">
        <f>VLOOKUP($A14,'Institution Evaluation'!$A$56:$K$345,3,0)&amp;""</f>
        <v>Yes</v>
      </c>
      <c r="G14" s="315" t="str">
        <f>VLOOKUP($A14,'Institution Evaluation'!$A$56:$K$345,7,0)&amp;""</f>
        <v>Yes</v>
      </c>
      <c r="H14" s="315" t="str">
        <f>VLOOKUP($A14,'Institution Evaluation'!$A$56:$K$345,8,0)&amp;""</f>
        <v/>
      </c>
      <c r="I14" s="315" t="str">
        <f>VLOOKUP($A14,'Institution Evaluation'!$A$56:$K$345,9,0)&amp;""</f>
        <v>Minor Importance</v>
      </c>
      <c r="J14" s="315" t="str">
        <f>VLOOKUP($A14,'Institution Evaluation'!$A$56:$K$345,10,0)&amp;""</f>
        <v/>
      </c>
      <c r="K14" s="315">
        <f>IF($I14='Auto Responses'!$J$11,20,IF($I14='Auto Responses'!$J$13,5,10))</f>
        <v>5</v>
      </c>
      <c r="L14" s="284">
        <f>IF($E14='Auto Responses'!$L$13, 'Auto Responses'!$J$5,IF(AND($D14='Auto Responses'!$J$27,$H14=""),'Auto Responses'!$J$5,IF(AND($D14='Auto Responses'!$J$27,$H14='Auto Responses'!$J$7),1,IF(AND($D14='Auto Responses'!$J$27,$H14='Auto Responses'!$J$8),0,IF(OR(AND($F14=$G14,$H14=""),$H14='Auto Responses'!$J$7),1,0)))))</f>
        <v>1</v>
      </c>
      <c r="M14" s="315" t="str">
        <f>VLOOKUP($A14,'Institution Evaluation'!$A$56:$K$345,11,0)&amp;""</f>
        <v>FALSCH</v>
      </c>
      <c r="N14" s="315">
        <f>IF($J14='Auto Responses'!$J$11,1,IF(AND($J14="",$I14='Auto Responses'!$J$11),1,0))</f>
        <v>0</v>
      </c>
      <c r="O14" s="284">
        <f>IF(OR($E14='Auto Responses'!$L$13,$F14='Auto Responses'!$J$5),'Auto Responses'!$J$5,IF($J14="",$K14,IF($J14='Auto Responses'!$J$13,5,IF($J14='Auto Responses'!$J$12,10,IF($J14='Auto Responses'!$J$11,20,0)))))</f>
        <v>5</v>
      </c>
      <c r="P14" s="284">
        <f>IF(OR($O14='Auto Responses'!$J$5,$L14='Auto Responses'!$J$5),'Auto Responses'!$J$5,$O14*$L14)</f>
        <v>5</v>
      </c>
      <c r="Q14" s="284">
        <f t="shared" si="1"/>
        <v>0</v>
      </c>
      <c r="R14" s="284">
        <f t="shared" si="5"/>
        <v>0</v>
      </c>
      <c r="S14" s="284">
        <f t="shared" si="2"/>
        <v>0</v>
      </c>
      <c r="T14" s="284">
        <f t="shared" si="3"/>
        <v>0</v>
      </c>
      <c r="U14" s="284">
        <f t="shared" si="6"/>
        <v>0</v>
      </c>
      <c r="V14" s="284">
        <f t="shared" si="4"/>
        <v>0</v>
      </c>
    </row>
    <row r="15" spans="1:22" ht="55.5" customHeight="1" x14ac:dyDescent="0.2">
      <c r="A15" s="315" t="str">
        <f>Questions!$A15</f>
        <v>COMP-04</v>
      </c>
      <c r="B15" s="315" t="str">
        <f t="shared" si="0"/>
        <v>COMP</v>
      </c>
      <c r="C15" s="315" t="str">
        <f>VLOOKUP($A15,Questions!$A$3:$L$333,2,0)&amp;""</f>
        <v>Do you have a dedicated information security staff or office?</v>
      </c>
      <c r="D15" s="315" t="str">
        <f>VLOOKUP($A15,Questions!$A$3:$L$333,11,0)&amp;""</f>
        <v/>
      </c>
      <c r="E15" s="315" t="str">
        <f>VLOOKUP($A15,Questions!$A$3:$L$333,12,0)&amp;""</f>
        <v>Start Here</v>
      </c>
      <c r="F15" s="315" t="str">
        <f>VLOOKUP($A15,'Institution Evaluation'!$A$56:$K$345,3,0)&amp;""</f>
        <v>No</v>
      </c>
      <c r="G15" s="315" t="str">
        <f>VLOOKUP($A15,'Institution Evaluation'!$A$56:$K$345,7,0)&amp;""</f>
        <v>Yes</v>
      </c>
      <c r="H15" s="315" t="str">
        <f>VLOOKUP($A15,'Institution Evaluation'!$A$56:$K$345,8,0)&amp;""</f>
        <v/>
      </c>
      <c r="I15" s="315" t="str">
        <f>VLOOKUP($A15,'Institution Evaluation'!$A$56:$K$345,9,0)&amp;""</f>
        <v>Minor Importance</v>
      </c>
      <c r="J15" s="315" t="str">
        <f>VLOOKUP($A15,'Institution Evaluation'!$A$56:$K$345,10,0)&amp;""</f>
        <v/>
      </c>
      <c r="K15" s="315">
        <f>IF($I15='Auto Responses'!$J$11,20,IF($I15='Auto Responses'!$J$13,5,10))</f>
        <v>5</v>
      </c>
      <c r="L15" s="284">
        <f>IF($E15='Auto Responses'!$L$13, 'Auto Responses'!$J$5,IF(AND($D15='Auto Responses'!$J$27,$H15=""),'Auto Responses'!$J$5,IF(AND($D15='Auto Responses'!$J$27,$H15='Auto Responses'!$J$7),1,IF(AND($D15='Auto Responses'!$J$27,$H15='Auto Responses'!$J$8),0,IF(OR(AND($F15=$G15,$H15=""),$H15='Auto Responses'!$J$7),1,0)))))</f>
        <v>0</v>
      </c>
      <c r="M15" s="315" t="str">
        <f>VLOOKUP($A15,'Institution Evaluation'!$A$56:$K$345,11,0)&amp;""</f>
        <v>FALSCH</v>
      </c>
      <c r="N15" s="315">
        <f>IF($J15='Auto Responses'!$J$11,1,IF(AND($J15="",$I15='Auto Responses'!$J$11),1,0))</f>
        <v>0</v>
      </c>
      <c r="O15" s="284">
        <f>IF(OR($E15='Auto Responses'!$L$13,$F15='Auto Responses'!$J$5),'Auto Responses'!$J$5,IF($J15="",$K15,IF($J15='Auto Responses'!$J$13,5,IF($J15='Auto Responses'!$J$12,10,IF($J15='Auto Responses'!$J$11,20,0)))))</f>
        <v>5</v>
      </c>
      <c r="P15" s="284">
        <f>IF(OR($O15='Auto Responses'!$J$5,$L15='Auto Responses'!$J$5),'Auto Responses'!$J$5,$O15*$L15)</f>
        <v>0</v>
      </c>
      <c r="Q15" s="284">
        <f t="shared" si="1"/>
        <v>0</v>
      </c>
      <c r="R15" s="284">
        <f t="shared" si="5"/>
        <v>0</v>
      </c>
      <c r="S15" s="284">
        <f t="shared" si="2"/>
        <v>0</v>
      </c>
      <c r="T15" s="284">
        <f t="shared" si="3"/>
        <v>0</v>
      </c>
      <c r="U15" s="284">
        <f t="shared" si="6"/>
        <v>0</v>
      </c>
      <c r="V15" s="284">
        <f t="shared" si="4"/>
        <v>0</v>
      </c>
    </row>
    <row r="16" spans="1:22" ht="55.5" customHeight="1" x14ac:dyDescent="0.2">
      <c r="A16" s="315" t="str">
        <f>Questions!$A16</f>
        <v>COMP-05</v>
      </c>
      <c r="B16" s="315" t="str">
        <f t="shared" si="0"/>
        <v>COMP</v>
      </c>
      <c r="C16" s="315" t="str">
        <f>VLOOKUP($A16,Questions!$A$3:$L$333,2,0)&amp;""</f>
        <v>Use this area to share information about your environment that will assist those who are assessing your company's data security program.</v>
      </c>
      <c r="D16" s="315" t="str">
        <f>VLOOKUP($A16,Questions!$A$3:$L$333,11,0)&amp;""</f>
        <v/>
      </c>
      <c r="E16" s="315" t="str">
        <f>VLOOKUP($A16,Questions!$A$3:$L$333,12,0)&amp;""</f>
        <v>Not Scored</v>
      </c>
      <c r="F16" s="315" t="str">
        <f>VLOOKUP($A16,'Institution Evaluation'!$A$56:$K$345,3,0)&amp;""</f>
        <v>SmartPLS Desktop is a locally installed application: customer research data is created, processed, and stored entirely on the customer’s own device and is never transmitted to or accessible by SmartPLS. The only data SmartPLS GmbH itself handles are (a) license administration data (name, email, institution), processed via our licensing provider Nalpeiron; (b) optional, anonymized usage/crash telemetry received on our own EU-hosted servers (Domainfactory and Strato); and (c) payment data, which is handled entirely by our payment service provider, Adyen, and never touches SmartPLS systems.</v>
      </c>
      <c r="G16" s="315" t="str">
        <f>VLOOKUP($A16,'Institution Evaluation'!$A$56:$K$345,7,0)&amp;""</f>
        <v>Not scored</v>
      </c>
      <c r="H16" s="315" t="str">
        <f>VLOOKUP($A16,'Institution Evaluation'!$A$56:$K$345,8,0)&amp;""</f>
        <v/>
      </c>
      <c r="I16" s="315" t="str">
        <f>VLOOKUP($A16,'Institution Evaluation'!$A$56:$K$345,9,0)&amp;""</f>
        <v>Not scored</v>
      </c>
      <c r="J16" s="315" t="str">
        <f>VLOOKUP($A16,'Institution Evaluation'!$A$56:$K$345,10,0)&amp;""</f>
        <v/>
      </c>
      <c r="K16" s="315">
        <f>IF($I16='Auto Responses'!$J$11,20,IF($I16='Auto Responses'!$J$13,5,10))</f>
        <v>10</v>
      </c>
      <c r="L16" s="284" t="str">
        <f>IF($E16='Auto Responses'!$L$13, 'Auto Responses'!$J$5,IF(AND($D16='Auto Responses'!$J$27,$H16=""),'Auto Responses'!$J$5,IF(AND($D16='Auto Responses'!$J$27,$H16='Auto Responses'!$J$7),1,IF(AND($D16='Auto Responses'!$J$27,$H16='Auto Responses'!$J$8),0,IF(OR(AND($F16=$G16,$H16=""),$H16='Auto Responses'!$J$7),1,0)))))</f>
        <v>N/A</v>
      </c>
      <c r="M16" s="315" t="str">
        <f>VLOOKUP($A16,'Institution Evaluation'!$A$56:$K$345,11,0)&amp;""</f>
        <v>FALSCH</v>
      </c>
      <c r="N16" s="315">
        <f>IF($J16='Auto Responses'!$J$11,1,IF(AND($J16="",$I16='Auto Responses'!$J$11),1,0))</f>
        <v>0</v>
      </c>
      <c r="O16" s="284" t="str">
        <f>IF(OR($E16='Auto Responses'!$L$13,$F16='Auto Responses'!$J$5),'Auto Responses'!$J$5,IF($J16="",$K16,IF($J16='Auto Responses'!$J$13,5,IF($J16='Auto Responses'!$J$12,10,IF($J16='Auto Responses'!$J$11,20,0)))))</f>
        <v>N/A</v>
      </c>
      <c r="P16" s="284" t="str">
        <f>IF(OR($O16='Auto Responses'!$J$5,$L16='Auto Responses'!$J$5),'Auto Responses'!$J$5,$O16*$L16)</f>
        <v>N/A</v>
      </c>
      <c r="Q16" s="284">
        <f t="shared" si="1"/>
        <v>0</v>
      </c>
      <c r="R16" s="284">
        <f t="shared" si="5"/>
        <v>0</v>
      </c>
      <c r="S16" s="284">
        <f t="shared" si="2"/>
        <v>0</v>
      </c>
      <c r="T16" s="284">
        <f t="shared" si="3"/>
        <v>0</v>
      </c>
      <c r="U16" s="284">
        <f t="shared" si="6"/>
        <v>0</v>
      </c>
      <c r="V16" s="284">
        <f t="shared" si="4"/>
        <v>0</v>
      </c>
    </row>
    <row r="17" spans="1:22" ht="55.5" customHeight="1" x14ac:dyDescent="0.2">
      <c r="A17" s="315" t="str">
        <f>Questions!$A17</f>
        <v>REQU-01</v>
      </c>
      <c r="B17" s="315" t="str">
        <f t="shared" si="0"/>
        <v>REQU</v>
      </c>
      <c r="C17" s="315" t="str">
        <f>VLOOKUP($A17,Questions!$A$3:$L$333,2,0)&amp;""</f>
        <v>Are you offering a cloud-based product?</v>
      </c>
      <c r="D17" s="315" t="str">
        <f>VLOOKUP($A17,Questions!$A$3:$L$333,11,0)&amp;""</f>
        <v>NA</v>
      </c>
      <c r="E17" s="315" t="str">
        <f>VLOOKUP($A17,Questions!$A$3:$L$333,12,0)&amp;""</f>
        <v>Not Scored</v>
      </c>
      <c r="F17" s="315" t="str">
        <f>VLOOKUP($A17,'Institution Evaluation'!$A$56:$K$345,3,0)&amp;""</f>
        <v>No</v>
      </c>
      <c r="G17" s="315" t="str">
        <f>VLOOKUP($A17,'Institution Evaluation'!$A$56:$K$345,7,0)&amp;""</f>
        <v>Not scored</v>
      </c>
      <c r="H17" s="315" t="str">
        <f>VLOOKUP($A17,'Institution Evaluation'!$A$56:$K$345,8,0)&amp;""</f>
        <v/>
      </c>
      <c r="I17" s="315" t="str">
        <f>VLOOKUP($A17,'Institution Evaluation'!$A$56:$K$345,9,0)&amp;""</f>
        <v/>
      </c>
      <c r="J17" s="315" t="str">
        <f>VLOOKUP($A17,'Institution Evaluation'!$A$56:$K$345,10,0)&amp;""</f>
        <v/>
      </c>
      <c r="K17" s="315">
        <f>IF($I17='Auto Responses'!$J$11,20,IF($I17='Auto Responses'!$J$13,5,10))</f>
        <v>10</v>
      </c>
      <c r="L17" s="284" t="str">
        <f>IF($E17='Auto Responses'!$L$13, 'Auto Responses'!$J$5,IF(AND($D17='Auto Responses'!$J$27,$H17=""),'Auto Responses'!$J$5,IF(AND($D17='Auto Responses'!$J$27,$H17='Auto Responses'!$J$7),1,IF(AND($D17='Auto Responses'!$J$27,$H17='Auto Responses'!$J$8),0,IF(OR(AND($F17=$G17,$H17=""),$H17='Auto Responses'!$J$7),1,0)))))</f>
        <v>N/A</v>
      </c>
      <c r="M17" s="315" t="str">
        <f>VLOOKUP($A17,'Institution Evaluation'!$A$56:$K$345,11,0)&amp;""</f>
        <v>FALSCH</v>
      </c>
      <c r="N17" s="315">
        <f>IF($J17='Auto Responses'!$J$11,1,IF(AND($J17="",$I17='Auto Responses'!$J$11),1,0))</f>
        <v>0</v>
      </c>
      <c r="O17" s="284" t="str">
        <f>IF($E17='Auto Responses'!$L$13,'Auto Responses'!$J$5,IF($J17="",$K17,IF($J17='Auto Responses'!$J$13,5,IF($J17='Auto Responses'!$J$12,10,IF($J17='Auto Responses'!$J$11,20,0)))))</f>
        <v>N/A</v>
      </c>
      <c r="P17" s="284" t="str">
        <f>IF(OR($O17='Auto Responses'!$J$5,$L17='Auto Responses'!$J$5),'Auto Responses'!$J$5,$O17*$L17)</f>
        <v>N/A</v>
      </c>
      <c r="Q17" s="284">
        <f t="shared" si="1"/>
        <v>0</v>
      </c>
      <c r="R17" s="284">
        <f t="shared" si="5"/>
        <v>0</v>
      </c>
      <c r="S17" s="284">
        <f t="shared" si="2"/>
        <v>0</v>
      </c>
      <c r="T17" s="284">
        <f t="shared" si="3"/>
        <v>0</v>
      </c>
      <c r="U17" s="284">
        <f t="shared" si="6"/>
        <v>0</v>
      </c>
      <c r="V17" s="284">
        <f t="shared" si="4"/>
        <v>0</v>
      </c>
    </row>
    <row r="18" spans="1:22" ht="55.5" customHeight="1" x14ac:dyDescent="0.2">
      <c r="A18" s="315" t="str">
        <f>Questions!$A18</f>
        <v>REQU-02</v>
      </c>
      <c r="B18" s="315" t="str">
        <f t="shared" si="0"/>
        <v>REQU</v>
      </c>
      <c r="C18" s="315" t="str">
        <f>VLOOKUP($A18,Questions!$A$3:$L$333,2,0)&amp;""</f>
        <v>Does your product or service have an interface?</v>
      </c>
      <c r="D18" s="315" t="str">
        <f>VLOOKUP($A18,Questions!$A$3:$L$333,11,0)&amp;""</f>
        <v>NA</v>
      </c>
      <c r="E18" s="315" t="str">
        <f>VLOOKUP($A18,Questions!$A$3:$L$333,12,0)&amp;""</f>
        <v>Not Scored</v>
      </c>
      <c r="F18" s="315" t="str">
        <f>VLOOKUP($A18,'Institution Evaluation'!$A$56:$K$345,3,0)&amp;""</f>
        <v>Yes</v>
      </c>
      <c r="G18" s="315" t="str">
        <f>VLOOKUP($A18,'Institution Evaluation'!$A$56:$K$345,7,0)&amp;""</f>
        <v>Not scored</v>
      </c>
      <c r="H18" s="315" t="str">
        <f>VLOOKUP($A18,'Institution Evaluation'!$A$56:$K$345,8,0)&amp;""</f>
        <v/>
      </c>
      <c r="I18" s="315" t="str">
        <f>VLOOKUP($A18,'Institution Evaluation'!$A$56:$K$345,9,0)&amp;""</f>
        <v/>
      </c>
      <c r="J18" s="315" t="str">
        <f>VLOOKUP($A18,'Institution Evaluation'!$A$56:$K$345,10,0)&amp;""</f>
        <v/>
      </c>
      <c r="K18" s="315">
        <f>IF($I18='Auto Responses'!$J$11,20,IF($I18='Auto Responses'!$J$13,5,10))</f>
        <v>10</v>
      </c>
      <c r="L18" s="284" t="str">
        <f>IF($E18='Auto Responses'!$L$13, 'Auto Responses'!$J$5,IF(AND($D18='Auto Responses'!$J$27,$H18=""),'Auto Responses'!$J$5,IF(AND($D18='Auto Responses'!$J$27,$H18='Auto Responses'!$J$7),1,IF(AND($D18='Auto Responses'!$J$27,$H18='Auto Responses'!$J$8),0,IF(OR(AND($F18=$G18,$H18=""),$H18='Auto Responses'!$J$7),1,0)))))</f>
        <v>N/A</v>
      </c>
      <c r="M18" s="315" t="str">
        <f>VLOOKUP($A18,'Institution Evaluation'!$A$56:$K$345,11,0)&amp;""</f>
        <v>FALSCH</v>
      </c>
      <c r="N18" s="315">
        <f>IF($J18='Auto Responses'!$J$11,1,IF(AND($J18="",$I18='Auto Responses'!$J$11),1,0))</f>
        <v>0</v>
      </c>
      <c r="O18" s="284" t="str">
        <f>IF($E18='Auto Responses'!$L$13,'Auto Responses'!$J$5,IF($J18="",$K18,IF($J18='Auto Responses'!$J$13,5,IF($J18='Auto Responses'!$J$12,10,IF($J18='Auto Responses'!$J$11,20,0)))))</f>
        <v>N/A</v>
      </c>
      <c r="P18" s="284" t="str">
        <f>IF(OR($O18='Auto Responses'!$J$5,$L18='Auto Responses'!$J$5),'Auto Responses'!$J$5,$O18*$L18)</f>
        <v>N/A</v>
      </c>
      <c r="Q18" s="284">
        <f t="shared" si="1"/>
        <v>0</v>
      </c>
      <c r="R18" s="284">
        <f t="shared" si="5"/>
        <v>0</v>
      </c>
      <c r="S18" s="284">
        <f t="shared" si="2"/>
        <v>0</v>
      </c>
      <c r="T18" s="284">
        <f t="shared" si="3"/>
        <v>0</v>
      </c>
      <c r="U18" s="284">
        <f t="shared" si="6"/>
        <v>0</v>
      </c>
      <c r="V18" s="284">
        <f t="shared" si="4"/>
        <v>0</v>
      </c>
    </row>
    <row r="19" spans="1:22" ht="55.5" customHeight="1" x14ac:dyDescent="0.2">
      <c r="A19" s="315" t="str">
        <f>Questions!$A19</f>
        <v>REQU-03</v>
      </c>
      <c r="B19" s="315" t="str">
        <f t="shared" si="0"/>
        <v>REQU</v>
      </c>
      <c r="C19" s="315" t="str">
        <f>VLOOKUP($A19,Questions!$A$3:$L$333,2,0)&amp;""</f>
        <v>Are you providing consulting services?</v>
      </c>
      <c r="D19" s="315" t="str">
        <f>VLOOKUP($A19,Questions!$A$3:$L$333,11,0)&amp;""</f>
        <v>NA</v>
      </c>
      <c r="E19" s="315" t="str">
        <f>VLOOKUP($A19,Questions!$A$3:$L$333,12,0)&amp;""</f>
        <v>Not Scored</v>
      </c>
      <c r="F19" s="315" t="str">
        <f>VLOOKUP($A19,'Institution Evaluation'!$A$56:$K$345,3,0)&amp;""</f>
        <v>No</v>
      </c>
      <c r="G19" s="315" t="str">
        <f>VLOOKUP($A19,'Institution Evaluation'!$A$56:$K$345,7,0)&amp;""</f>
        <v>Not scored</v>
      </c>
      <c r="H19" s="315" t="str">
        <f>VLOOKUP($A19,'Institution Evaluation'!$A$56:$K$345,8,0)&amp;""</f>
        <v/>
      </c>
      <c r="I19" s="315" t="str">
        <f>VLOOKUP($A19,'Institution Evaluation'!$A$56:$K$345,9,0)&amp;""</f>
        <v/>
      </c>
      <c r="J19" s="315" t="str">
        <f>VLOOKUP($A19,'Institution Evaluation'!$A$56:$K$345,10,0)&amp;""</f>
        <v/>
      </c>
      <c r="K19" s="315">
        <f>IF($I19='Auto Responses'!$J$11,20,IF($I19='Auto Responses'!$J$13,5,10))</f>
        <v>10</v>
      </c>
      <c r="L19" s="284" t="str">
        <f>IF($E19='Auto Responses'!$L$13, 'Auto Responses'!$J$5,IF(AND($D19='Auto Responses'!$J$27,$H19=""),'Auto Responses'!$J$5,IF(AND($D19='Auto Responses'!$J$27,$H19='Auto Responses'!$J$7),1,IF(AND($D19='Auto Responses'!$J$27,$H19='Auto Responses'!$J$8),0,IF(OR(AND($F19=$G19,$H19=""),$H19='Auto Responses'!$J$7),1,0)))))</f>
        <v>N/A</v>
      </c>
      <c r="M19" s="315" t="str">
        <f>VLOOKUP($A19,'Institution Evaluation'!$A$56:$K$345,11,0)&amp;""</f>
        <v>FALSCH</v>
      </c>
      <c r="N19" s="315">
        <f>IF($J19='Auto Responses'!$J$11,1,IF(AND($J19="",$I19='Auto Responses'!$J$11),1,0))</f>
        <v>0</v>
      </c>
      <c r="O19" s="284" t="str">
        <f>IF($E19='Auto Responses'!$L$13,'Auto Responses'!$J$5,IF($J19="",$K19,IF($J19='Auto Responses'!$J$13,5,IF($J19='Auto Responses'!$J$12,10,IF($J19='Auto Responses'!$J$11,20,0)))))</f>
        <v>N/A</v>
      </c>
      <c r="P19" s="284" t="str">
        <f>IF(OR($O19='Auto Responses'!$J$5,$L19='Auto Responses'!$J$5),'Auto Responses'!$J$5,$O19*$L19)</f>
        <v>N/A</v>
      </c>
      <c r="Q19" s="284">
        <f t="shared" si="1"/>
        <v>0</v>
      </c>
      <c r="R19" s="284">
        <f t="shared" si="5"/>
        <v>0</v>
      </c>
      <c r="S19" s="284">
        <f t="shared" si="2"/>
        <v>0</v>
      </c>
      <c r="T19" s="284">
        <f t="shared" si="3"/>
        <v>0</v>
      </c>
      <c r="U19" s="284">
        <f t="shared" si="6"/>
        <v>0</v>
      </c>
      <c r="V19" s="284">
        <f t="shared" si="4"/>
        <v>0</v>
      </c>
    </row>
    <row r="20" spans="1:22" ht="55.5" customHeight="1" x14ac:dyDescent="0.2">
      <c r="A20" s="315" t="str">
        <f>Questions!$A20</f>
        <v>REQU-04</v>
      </c>
      <c r="B20" s="315" t="str">
        <f t="shared" si="0"/>
        <v>REQU</v>
      </c>
      <c r="C20" s="315" t="str">
        <f>VLOOKUP($A20,Questions!$A$3:$L$333,2,0)&amp;""</f>
        <v>Does your solution have AI features, or are there plans to implement AI features in the next 12 months?</v>
      </c>
      <c r="D20" s="315" t="str">
        <f>VLOOKUP($A20,Questions!$A$3:$L$333,11,0)&amp;""</f>
        <v>NA</v>
      </c>
      <c r="E20" s="315" t="str">
        <f>VLOOKUP($A20,Questions!$A$3:$L$333,12,0)&amp;""</f>
        <v>Not Scored</v>
      </c>
      <c r="F20" s="315" t="str">
        <f>VLOOKUP($A20,'Institution Evaluation'!$A$56:$K$345,3,0)&amp;""</f>
        <v>No</v>
      </c>
      <c r="G20" s="315" t="str">
        <f>VLOOKUP($A20,'Institution Evaluation'!$A$56:$K$345,7,0)&amp;""</f>
        <v>Not scored</v>
      </c>
      <c r="H20" s="315" t="str">
        <f>VLOOKUP($A20,'Institution Evaluation'!$A$56:$K$345,8,0)&amp;""</f>
        <v/>
      </c>
      <c r="I20" s="315" t="str">
        <f>VLOOKUP($A20,'Institution Evaluation'!$A$56:$K$345,9,0)&amp;""</f>
        <v/>
      </c>
      <c r="J20" s="315" t="str">
        <f>VLOOKUP($A20,'Institution Evaluation'!$A$56:$K$345,10,0)&amp;""</f>
        <v/>
      </c>
      <c r="K20" s="315">
        <f>IF($I20='Auto Responses'!$J$11,20,IF($I20='Auto Responses'!$J$13,5,10))</f>
        <v>10</v>
      </c>
      <c r="L20" s="284" t="str">
        <f>IF($E20='Auto Responses'!$L$13, 'Auto Responses'!$J$5,IF(AND($D20='Auto Responses'!$J$27,$H20=""),'Auto Responses'!$J$5,IF(AND($D20='Auto Responses'!$J$27,$H20='Auto Responses'!$J$7),1,IF(AND($D20='Auto Responses'!$J$27,$H20='Auto Responses'!$J$8),0,IF(OR(AND($F20=$G20,$H20=""),$H20='Auto Responses'!$J$7),1,0)))))</f>
        <v>N/A</v>
      </c>
      <c r="M20" s="315" t="str">
        <f>VLOOKUP($A20,'Institution Evaluation'!$A$56:$K$345,11,0)&amp;""</f>
        <v>FALSCH</v>
      </c>
      <c r="N20" s="315">
        <f>IF($J20='Auto Responses'!$J$11,1,IF(AND($J20="",$I20='Auto Responses'!$J$11),1,0))</f>
        <v>0</v>
      </c>
      <c r="O20" s="284" t="str">
        <f>IF($E20='Auto Responses'!$L$13,'Auto Responses'!$J$5,IF($J20="",$K20,IF($J20='Auto Responses'!$J$13,5,IF($J20='Auto Responses'!$J$12,10,IF($J20='Auto Responses'!$J$11,20,0)))))</f>
        <v>N/A</v>
      </c>
      <c r="P20" s="284" t="str">
        <f>IF(OR($O20='Auto Responses'!$J$5,$L20='Auto Responses'!$J$5),'Auto Responses'!$J$5,$O20*$L20)</f>
        <v>N/A</v>
      </c>
      <c r="Q20" s="284">
        <f t="shared" si="1"/>
        <v>0</v>
      </c>
      <c r="R20" s="284">
        <f t="shared" si="5"/>
        <v>0</v>
      </c>
      <c r="S20" s="284">
        <f t="shared" si="2"/>
        <v>0</v>
      </c>
      <c r="T20" s="284">
        <f t="shared" si="3"/>
        <v>0</v>
      </c>
      <c r="U20" s="284">
        <f t="shared" si="6"/>
        <v>0</v>
      </c>
      <c r="V20" s="284">
        <f t="shared" si="4"/>
        <v>0</v>
      </c>
    </row>
    <row r="21" spans="1:22" ht="55.5" customHeight="1" x14ac:dyDescent="0.2">
      <c r="A21" s="315" t="str">
        <f>Questions!$A21</f>
        <v>REQU-05</v>
      </c>
      <c r="B21" s="315" t="str">
        <f t="shared" si="0"/>
        <v>REQU</v>
      </c>
      <c r="C21" s="315" t="str">
        <f>VLOOKUP($A21,Questions!$A$3:$L$333,2,0)&amp;""</f>
        <v>Does your solution process protected health information (PHI) or any data covered by the Health Insurance Portability and Accountability Act (HIPAA)?</v>
      </c>
      <c r="D21" s="315" t="str">
        <f>VLOOKUP($A21,Questions!$A$3:$L$333,11,0)&amp;""</f>
        <v>NA</v>
      </c>
      <c r="E21" s="315" t="str">
        <f>VLOOKUP($A21,Questions!$A$3:$L$333,12,0)&amp;""</f>
        <v>Not Scored</v>
      </c>
      <c r="F21" s="315" t="str">
        <f>VLOOKUP($A21,'Institution Evaluation'!$A$56:$K$345,3,0)&amp;""</f>
        <v>No</v>
      </c>
      <c r="G21" s="315" t="str">
        <f>VLOOKUP($A21,'Institution Evaluation'!$A$56:$K$345,7,0)&amp;""</f>
        <v>Not scored</v>
      </c>
      <c r="H21" s="315" t="str">
        <f>VLOOKUP($A21,'Institution Evaluation'!$A$56:$K$345,8,0)&amp;""</f>
        <v/>
      </c>
      <c r="I21" s="315" t="str">
        <f>VLOOKUP($A21,'Institution Evaluation'!$A$56:$K$345,9,0)&amp;""</f>
        <v/>
      </c>
      <c r="J21" s="315" t="str">
        <f>VLOOKUP($A21,'Institution Evaluation'!$A$56:$K$345,10,0)&amp;""</f>
        <v/>
      </c>
      <c r="K21" s="315">
        <f>IF($I21='Auto Responses'!$J$11,20,IF($I21='Auto Responses'!$J$13,5,10))</f>
        <v>10</v>
      </c>
      <c r="L21" s="284" t="str">
        <f>IF($E21='Auto Responses'!$L$13, 'Auto Responses'!$J$5,IF(AND($D21='Auto Responses'!$J$27,$H21=""),'Auto Responses'!$J$5,IF(AND($D21='Auto Responses'!$J$27,$H21='Auto Responses'!$J$7),1,IF(AND($D21='Auto Responses'!$J$27,$H21='Auto Responses'!$J$8),0,IF(OR(AND($F21=$G21,$H21=""),$H21='Auto Responses'!$J$7),1,0)))))</f>
        <v>N/A</v>
      </c>
      <c r="M21" s="315" t="str">
        <f>VLOOKUP($A21,'Institution Evaluation'!$A$56:$K$345,11,0)&amp;""</f>
        <v>FALSCH</v>
      </c>
      <c r="N21" s="315">
        <f>IF($J21='Auto Responses'!$J$11,1,IF(AND($J21="",$I21='Auto Responses'!$J$11),1,0))</f>
        <v>0</v>
      </c>
      <c r="O21" s="284" t="str">
        <f>IF($E21='Auto Responses'!$L$13,'Auto Responses'!$J$5,IF($J21="",$K21,IF($J21='Auto Responses'!$J$13,5,IF($J21='Auto Responses'!$J$12,10,IF($J21='Auto Responses'!$J$11,20,0)))))</f>
        <v>N/A</v>
      </c>
      <c r="P21" s="284" t="str">
        <f>IF(OR($O21='Auto Responses'!$J$5,$L21='Auto Responses'!$J$5),'Auto Responses'!$J$5,$O21*$L21)</f>
        <v>N/A</v>
      </c>
      <c r="Q21" s="284">
        <f t="shared" si="1"/>
        <v>0</v>
      </c>
      <c r="R21" s="284">
        <f t="shared" si="5"/>
        <v>0</v>
      </c>
      <c r="S21" s="284">
        <f t="shared" si="2"/>
        <v>0</v>
      </c>
      <c r="T21" s="284">
        <f t="shared" si="3"/>
        <v>0</v>
      </c>
      <c r="U21" s="284">
        <f t="shared" si="6"/>
        <v>0</v>
      </c>
      <c r="V21" s="284">
        <f t="shared" si="4"/>
        <v>0</v>
      </c>
    </row>
    <row r="22" spans="1:22" ht="55.5" customHeight="1" x14ac:dyDescent="0.2">
      <c r="A22" s="315" t="str">
        <f>Questions!$A22</f>
        <v>REQU-06</v>
      </c>
      <c r="B22" s="315" t="str">
        <f t="shared" si="0"/>
        <v>REQU</v>
      </c>
      <c r="C22" s="315" t="str">
        <f>VLOOKUP($A22,Questions!$A$3:$L$333,2,0)&amp;""</f>
        <v>Is the solution designed to process, store, or transmit credit card information?</v>
      </c>
      <c r="D22" s="315" t="str">
        <f>VLOOKUP($A22,Questions!$A$3:$L$333,11,0)&amp;""</f>
        <v>NA</v>
      </c>
      <c r="E22" s="315" t="str">
        <f>VLOOKUP($A22,Questions!$A$3:$L$333,12,0)&amp;""</f>
        <v>Not Scored</v>
      </c>
      <c r="F22" s="315" t="str">
        <f>VLOOKUP($A22,'Institution Evaluation'!$A$56:$K$345,3,0)&amp;""</f>
        <v>No</v>
      </c>
      <c r="G22" s="315" t="str">
        <f>VLOOKUP($A22,'Institution Evaluation'!$A$56:$K$345,7,0)&amp;""</f>
        <v>Not scored</v>
      </c>
      <c r="H22" s="315" t="str">
        <f>VLOOKUP($A22,'Institution Evaluation'!$A$56:$K$345,8,0)&amp;""</f>
        <v/>
      </c>
      <c r="I22" s="315" t="str">
        <f>VLOOKUP($A22,'Institution Evaluation'!$A$56:$K$345,9,0)&amp;""</f>
        <v/>
      </c>
      <c r="J22" s="315" t="str">
        <f>VLOOKUP($A22,'Institution Evaluation'!$A$56:$K$345,10,0)&amp;""</f>
        <v/>
      </c>
      <c r="K22" s="315">
        <f>IF($I22='Auto Responses'!$J$11,20,IF($I22='Auto Responses'!$J$13,5,10))</f>
        <v>10</v>
      </c>
      <c r="L22" s="284" t="str">
        <f>IF($E22='Auto Responses'!$L$13, 'Auto Responses'!$J$5,IF(AND($D22='Auto Responses'!$J$27,$H22=""),'Auto Responses'!$J$5,IF(AND($D22='Auto Responses'!$J$27,$H22='Auto Responses'!$J$7),1,IF(AND($D22='Auto Responses'!$J$27,$H22='Auto Responses'!$J$8),0,IF(OR(AND($F22=$G22,$H22=""),$H22='Auto Responses'!$J$7),1,0)))))</f>
        <v>N/A</v>
      </c>
      <c r="M22" s="315" t="str">
        <f>VLOOKUP($A22,'Institution Evaluation'!$A$56:$K$345,11,0)&amp;""</f>
        <v>FALSCH</v>
      </c>
      <c r="N22" s="315">
        <f>IF($J22='Auto Responses'!$J$11,1,IF(AND($J22="",$I22='Auto Responses'!$J$11),1,0))</f>
        <v>0</v>
      </c>
      <c r="O22" s="284" t="str">
        <f>IF($E22='Auto Responses'!$L$13,'Auto Responses'!$J$5,IF($J22="",$K22,IF($J22='Auto Responses'!$J$13,5,IF($J22='Auto Responses'!$J$12,10,IF($J22='Auto Responses'!$J$11,20,0)))))</f>
        <v>N/A</v>
      </c>
      <c r="P22" s="284" t="str">
        <f>IF(OR($O22='Auto Responses'!$J$5,$L22='Auto Responses'!$J$5),'Auto Responses'!$J$5,$O22*$L22)</f>
        <v>N/A</v>
      </c>
      <c r="Q22" s="284">
        <f t="shared" si="1"/>
        <v>0</v>
      </c>
      <c r="R22" s="284">
        <f t="shared" si="5"/>
        <v>0</v>
      </c>
      <c r="S22" s="284">
        <f t="shared" si="2"/>
        <v>0</v>
      </c>
      <c r="T22" s="284">
        <f t="shared" si="3"/>
        <v>0</v>
      </c>
      <c r="U22" s="284">
        <f t="shared" si="6"/>
        <v>0</v>
      </c>
      <c r="V22" s="284">
        <f t="shared" si="4"/>
        <v>0</v>
      </c>
    </row>
    <row r="23" spans="1:22" ht="69.75" customHeight="1" x14ac:dyDescent="0.2">
      <c r="A23" s="315" t="str">
        <f>Questions!$A23</f>
        <v>REQU-07</v>
      </c>
      <c r="B23" s="315" t="str">
        <f t="shared" si="0"/>
        <v>REQU</v>
      </c>
      <c r="C23" s="315"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315" t="str">
        <f>VLOOKUP($A23,Questions!$A$3:$L$333,11,0)&amp;""</f>
        <v>NA</v>
      </c>
      <c r="E23" s="315" t="str">
        <f>VLOOKUP($A23,Questions!$A$3:$L$333,12,0)&amp;""</f>
        <v>Not Scored</v>
      </c>
      <c r="F23" s="315" t="str">
        <f>VLOOKUP($A23,'Institution Evaluation'!$A$56:$K$345,3,0)&amp;""</f>
        <v>No</v>
      </c>
      <c r="G23" s="315" t="str">
        <f>VLOOKUP($A23,'Institution Evaluation'!$A$56:$K$345,7,0)&amp;""</f>
        <v>Not scored</v>
      </c>
      <c r="H23" s="315" t="str">
        <f>VLOOKUP($A23,'Institution Evaluation'!$A$56:$K$345,8,0)&amp;""</f>
        <v/>
      </c>
      <c r="I23" s="315" t="str">
        <f>VLOOKUP($A23,'Institution Evaluation'!$A$56:$K$345,9,0)&amp;""</f>
        <v/>
      </c>
      <c r="J23" s="315" t="str">
        <f>VLOOKUP($A23,'Institution Evaluation'!$A$56:$K$345,10,0)&amp;""</f>
        <v/>
      </c>
      <c r="K23" s="315">
        <f>IF($I23='Auto Responses'!$J$11,20,IF($I23='Auto Responses'!$J$13,5,10))</f>
        <v>10</v>
      </c>
      <c r="L23" s="284" t="str">
        <f>IF($E23='Auto Responses'!$L$13, 'Auto Responses'!$J$5,IF(AND($D23='Auto Responses'!$J$27,$H23=""),'Auto Responses'!$J$5,IF(AND($D23='Auto Responses'!$J$27,$H23='Auto Responses'!$J$7),1,IF(AND($D23='Auto Responses'!$J$27,$H23='Auto Responses'!$J$8),0,IF(OR(AND($F23=$G23,$H23=""),$H23='Auto Responses'!$J$7),1,0)))))</f>
        <v>N/A</v>
      </c>
      <c r="M23" s="315" t="str">
        <f>VLOOKUP($A23,'Institution Evaluation'!$A$56:$K$345,11,0)&amp;""</f>
        <v>FALSCH</v>
      </c>
      <c r="N23" s="315">
        <f>IF($J23='Auto Responses'!$J$11,1,IF(AND($J23="",$I23='Auto Responses'!$J$11),1,0))</f>
        <v>0</v>
      </c>
      <c r="O23" s="284" t="str">
        <f>IF($E23='Auto Responses'!$L$13,'Auto Responses'!$J$5,IF($J23="",$K23,IF($J23='Auto Responses'!$J$13,5,IF($J23='Auto Responses'!$J$12,10,IF($J23='Auto Responses'!$J$11,20,0)))))</f>
        <v>N/A</v>
      </c>
      <c r="P23" s="284" t="str">
        <f>IF(OR($O23='Auto Responses'!$J$5,$L23='Auto Responses'!$J$5),'Auto Responses'!$J$5,$O23*$L23)</f>
        <v>N/A</v>
      </c>
      <c r="Q23" s="284">
        <f t="shared" si="1"/>
        <v>0</v>
      </c>
      <c r="R23" s="284">
        <f t="shared" si="5"/>
        <v>0</v>
      </c>
      <c r="S23" s="284">
        <f t="shared" si="2"/>
        <v>0</v>
      </c>
      <c r="T23" s="284">
        <f t="shared" si="3"/>
        <v>0</v>
      </c>
      <c r="U23" s="284">
        <f t="shared" si="6"/>
        <v>0</v>
      </c>
      <c r="V23" s="284">
        <f t="shared" si="4"/>
        <v>0</v>
      </c>
    </row>
    <row r="24" spans="1:22" ht="55.5" customHeight="1" x14ac:dyDescent="0.2">
      <c r="A24" s="315" t="str">
        <f>Questions!$A24</f>
        <v>REQU-08</v>
      </c>
      <c r="B24" s="315" t="str">
        <f t="shared" si="0"/>
        <v>REQU</v>
      </c>
      <c r="C24" s="315" t="str">
        <f>VLOOKUP($A24,Questions!$A$3:$L$333,2,0)&amp;""</f>
        <v>Does your solution have access to personal or institutional data?</v>
      </c>
      <c r="D24" s="315" t="str">
        <f>VLOOKUP($A24,Questions!$A$3:$L$333,11,0)&amp;""</f>
        <v>NA</v>
      </c>
      <c r="E24" s="315" t="str">
        <f>VLOOKUP($A24,Questions!$A$3:$L$333,12,0)&amp;""</f>
        <v>Not Scored</v>
      </c>
      <c r="F24" s="315" t="str">
        <f>VLOOKUP($A24,'Institution Evaluation'!$A$56:$K$345,3,0)&amp;""</f>
        <v>Yes</v>
      </c>
      <c r="G24" s="315" t="str">
        <f>VLOOKUP($A24,'Institution Evaluation'!$A$56:$K$345,7,0)&amp;""</f>
        <v>Not scored</v>
      </c>
      <c r="H24" s="315" t="str">
        <f>VLOOKUP($A24,'Institution Evaluation'!$A$56:$K$345,8,0)&amp;""</f>
        <v/>
      </c>
      <c r="I24" s="315" t="str">
        <f>VLOOKUP($A24,'Institution Evaluation'!$A$56:$K$345,9,0)&amp;""</f>
        <v/>
      </c>
      <c r="J24" s="315" t="str">
        <f>VLOOKUP($A24,'Institution Evaluation'!$A$56:$K$345,10,0)&amp;""</f>
        <v/>
      </c>
      <c r="K24" s="315">
        <f>IF($I24='Auto Responses'!$J$11,20,IF($I24='Auto Responses'!$J$13,5,10))</f>
        <v>10</v>
      </c>
      <c r="L24" s="284" t="str">
        <f>IF($E24='Auto Responses'!$L$13, 'Auto Responses'!$J$5,IF(AND($D24='Auto Responses'!$J$27,$H24=""),'Auto Responses'!$J$5,IF(AND($D24='Auto Responses'!$J$27,$H24='Auto Responses'!$J$7),1,IF(AND($D24='Auto Responses'!$J$27,$H24='Auto Responses'!$J$8),0,IF(OR(AND($F24=$G24,$H24=""),$H24='Auto Responses'!$J$7),1,0)))))</f>
        <v>N/A</v>
      </c>
      <c r="M24" s="315" t="str">
        <f>VLOOKUP($A24,'Institution Evaluation'!$A$56:$K$345,11,0)&amp;""</f>
        <v>FALSCH</v>
      </c>
      <c r="N24" s="315">
        <f>IF($J24='Auto Responses'!$J$11,1,IF(AND($J24="",$I24='Auto Responses'!$J$11),1,0))</f>
        <v>0</v>
      </c>
      <c r="O24" s="284" t="str">
        <f>IF($E24='Auto Responses'!$L$13,'Auto Responses'!$J$5,IF($J24="",$K24,IF($J24='Auto Responses'!$J$13,5,IF($J24='Auto Responses'!$J$12,10,IF($J24='Auto Responses'!$J$11,20,0)))))</f>
        <v>N/A</v>
      </c>
      <c r="P24" s="284" t="str">
        <f>IF(OR($O24='Auto Responses'!$J$5,$L24='Auto Responses'!$J$5),'Auto Responses'!$J$5,$O24*$L24)</f>
        <v>N/A</v>
      </c>
      <c r="Q24" s="284">
        <f t="shared" si="1"/>
        <v>0</v>
      </c>
      <c r="R24" s="284">
        <f t="shared" si="5"/>
        <v>0</v>
      </c>
      <c r="S24" s="284">
        <f t="shared" si="2"/>
        <v>0</v>
      </c>
      <c r="T24" s="284">
        <f t="shared" si="3"/>
        <v>0</v>
      </c>
      <c r="U24" s="284">
        <f t="shared" si="6"/>
        <v>0</v>
      </c>
      <c r="V24" s="284">
        <f t="shared" si="4"/>
        <v>0</v>
      </c>
    </row>
    <row r="25" spans="1:22" ht="55.5" customHeight="1" x14ac:dyDescent="0.2">
      <c r="A25" s="315" t="str">
        <f>Questions!$A25</f>
        <v>DOCU-01</v>
      </c>
      <c r="B25" s="315" t="str">
        <f t="shared" si="0"/>
        <v>DOCU</v>
      </c>
      <c r="C25" s="315" t="str">
        <f>VLOOKUP($A25,Questions!$A$3:$L$333,2,0)&amp;""</f>
        <v>Do you have a well-documented business continuity plan (BCP), with a clear owner, that is tested annually?*</v>
      </c>
      <c r="D25" s="315" t="str">
        <f>VLOOKUP($A25,Questions!$A$3:$L$333,11,0)&amp;""</f>
        <v/>
      </c>
      <c r="E25" s="315" t="str">
        <f>VLOOKUP($A25,Questions!$A$3:$L$333,12,0)&amp;""</f>
        <v>Organization</v>
      </c>
      <c r="F25" s="315" t="str">
        <f>VLOOKUP($A25,'Institution Evaluation'!$A$56:$K$345,3,0)&amp;""</f>
        <v>No</v>
      </c>
      <c r="G25" s="315" t="str">
        <f>VLOOKUP($A25,'Institution Evaluation'!$A$56:$K$345,7,0)&amp;""</f>
        <v>Yes</v>
      </c>
      <c r="H25" s="315" t="str">
        <f>VLOOKUP($A25,'Institution Evaluation'!$A$56:$K$345,8,0)&amp;""</f>
        <v/>
      </c>
      <c r="I25" s="315" t="str">
        <f>VLOOKUP($A25,'Institution Evaluation'!$A$56:$K$345,9,0)&amp;""</f>
        <v>Critical Importance</v>
      </c>
      <c r="J25" s="315" t="str">
        <f>VLOOKUP($A25,'Institution Evaluation'!$A$56:$K$345,10,0)&amp;""</f>
        <v/>
      </c>
      <c r="K25" s="315">
        <f>IF($I25='Auto Responses'!$J$11,20,IF($I25='Auto Responses'!$J$13,5,10))</f>
        <v>20</v>
      </c>
      <c r="L25" s="284">
        <f>IF($E25='Auto Responses'!$L$13, 'Auto Responses'!$J$5,IF(AND($D25='Auto Responses'!$J$27,$H25=""),'Auto Responses'!$J$5,IF(AND($D25='Auto Responses'!$J$27,$H25='Auto Responses'!$J$7),1,IF(AND($D25='Auto Responses'!$J$27,$H25='Auto Responses'!$J$8),0,IF(OR(AND($F25=$G25,$H25=""),$H25='Auto Responses'!$J$7),1,0)))))</f>
        <v>0</v>
      </c>
      <c r="M25" s="315" t="str">
        <f>VLOOKUP($A25,'Institution Evaluation'!$A$56:$K$345,11,0)&amp;""</f>
        <v>FALSCH</v>
      </c>
      <c r="N25" s="315">
        <f>IF($J25='Auto Responses'!$J$11,1,IF(AND($J25="",$I25='Auto Responses'!$J$11),1,0))</f>
        <v>1</v>
      </c>
      <c r="O25" s="284">
        <f>IF(OR($E25='Auto Responses'!$L$13,$F25='Auto Responses'!$J$5),'Auto Responses'!$J$5,IF($J25="",$K25,IF($J25='Auto Responses'!$J$13,5,IF($J25='Auto Responses'!$J$12,10,IF($J25='Auto Responses'!$J$11,20,0)))))</f>
        <v>20</v>
      </c>
      <c r="P25" s="284">
        <f>IF(OR($O25='Auto Responses'!$J$5,$L25='Auto Responses'!$J$5),'Auto Responses'!$J$5,$O25*$L25)</f>
        <v>0</v>
      </c>
      <c r="Q25" s="284">
        <f t="shared" si="1"/>
        <v>0</v>
      </c>
      <c r="R25" s="284">
        <f t="shared" si="5"/>
        <v>0</v>
      </c>
      <c r="S25" s="284">
        <f t="shared" si="2"/>
        <v>0</v>
      </c>
      <c r="T25" s="284">
        <f t="shared" si="3"/>
        <v>1</v>
      </c>
      <c r="U25" s="284">
        <f t="shared" si="6"/>
        <v>1</v>
      </c>
      <c r="V25" s="284">
        <f t="shared" si="4"/>
        <v>1</v>
      </c>
    </row>
    <row r="26" spans="1:22" ht="55.5" customHeight="1" x14ac:dyDescent="0.2">
      <c r="A26" s="315" t="str">
        <f>Questions!$A26</f>
        <v>DOCU-02</v>
      </c>
      <c r="B26" s="315" t="str">
        <f t="shared" si="0"/>
        <v>DOCU</v>
      </c>
      <c r="C26" s="315" t="str">
        <f>VLOOKUP($A26,Questions!$A$3:$L$333,2,0)&amp;""</f>
        <v>Do you have a well-documented disaster recovery plan (DRP), with a clear owner, that is tested annually?*</v>
      </c>
      <c r="D26" s="315" t="str">
        <f>VLOOKUP($A26,Questions!$A$3:$L$333,11,0)&amp;""</f>
        <v/>
      </c>
      <c r="E26" s="315" t="str">
        <f>VLOOKUP($A26,Questions!$A$3:$L$333,12,0)&amp;""</f>
        <v>Organization</v>
      </c>
      <c r="F26" s="315" t="str">
        <f>VLOOKUP($A26,'Institution Evaluation'!$A$56:$K$345,3,0)&amp;""</f>
        <v>No</v>
      </c>
      <c r="G26" s="315" t="str">
        <f>VLOOKUP($A26,'Institution Evaluation'!$A$56:$K$345,7,0)&amp;""</f>
        <v>Yes</v>
      </c>
      <c r="H26" s="315" t="str">
        <f>VLOOKUP($A26,'Institution Evaluation'!$A$56:$K$345,8,0)&amp;""</f>
        <v/>
      </c>
      <c r="I26" s="315" t="str">
        <f>VLOOKUP($A26,'Institution Evaluation'!$A$56:$K$345,9,0)&amp;""</f>
        <v>Critical Importance</v>
      </c>
      <c r="J26" s="315" t="str">
        <f>VLOOKUP($A26,'Institution Evaluation'!$A$56:$K$345,10,0)&amp;""</f>
        <v/>
      </c>
      <c r="K26" s="315">
        <f>IF($I26='Auto Responses'!$J$11,20,IF($I26='Auto Responses'!$J$13,5,10))</f>
        <v>20</v>
      </c>
      <c r="L26" s="284">
        <f>IF($E26='Auto Responses'!$L$13, 'Auto Responses'!$J$5,IF(AND($D26='Auto Responses'!$J$27,$H26=""),'Auto Responses'!$J$5,IF(AND($D26='Auto Responses'!$J$27,$H26='Auto Responses'!$J$7),1,IF(AND($D26='Auto Responses'!$J$27,$H26='Auto Responses'!$J$8),0,IF(OR(AND($F26=$G26,$H26=""),$H26='Auto Responses'!$J$7),1,0)))))</f>
        <v>0</v>
      </c>
      <c r="M26" s="315" t="str">
        <f>VLOOKUP($A26,'Institution Evaluation'!$A$56:$K$345,11,0)&amp;""</f>
        <v>FALSCH</v>
      </c>
      <c r="N26" s="315">
        <f>IF($J26='Auto Responses'!$J$11,1,IF(AND($J26="",$I26='Auto Responses'!$J$11),1,0))</f>
        <v>1</v>
      </c>
      <c r="O26" s="284">
        <f>IF(OR($E26='Auto Responses'!$L$13,$F26='Auto Responses'!$J$5),'Auto Responses'!$J$5,IF($J26="",$K26,IF($J26='Auto Responses'!$J$13,5,IF($J26='Auto Responses'!$J$12,10,IF($J26='Auto Responses'!$J$11,20,0)))))</f>
        <v>20</v>
      </c>
      <c r="P26" s="284">
        <f>IF(OR($O26='Auto Responses'!$J$5,$L26='Auto Responses'!$J$5),'Auto Responses'!$J$5,$O26*$L26)</f>
        <v>0</v>
      </c>
      <c r="Q26" s="284">
        <f t="shared" si="1"/>
        <v>0</v>
      </c>
      <c r="R26" s="284">
        <f t="shared" si="5"/>
        <v>0</v>
      </c>
      <c r="S26" s="284">
        <f t="shared" si="2"/>
        <v>0</v>
      </c>
      <c r="T26" s="284">
        <f t="shared" si="3"/>
        <v>1</v>
      </c>
      <c r="U26" s="284">
        <f t="shared" si="6"/>
        <v>2</v>
      </c>
      <c r="V26" s="284">
        <f t="shared" si="4"/>
        <v>2</v>
      </c>
    </row>
    <row r="27" spans="1:22" ht="55.5" customHeight="1" x14ac:dyDescent="0.2">
      <c r="A27" s="315" t="str">
        <f>Questions!$A27</f>
        <v>DOCU-03</v>
      </c>
      <c r="B27" s="315" t="str">
        <f t="shared" si="0"/>
        <v>DOCU</v>
      </c>
      <c r="C27" s="315" t="str">
        <f>VLOOKUP($A27,Questions!$A$3:$L$333,2,0)&amp;""</f>
        <v>Have you undergone a SSAE 18/SOC 2 audit?</v>
      </c>
      <c r="D27" s="315" t="str">
        <f>VLOOKUP($A27,Questions!$A$3:$L$333,11,0)&amp;""</f>
        <v/>
      </c>
      <c r="E27" s="315" t="str">
        <f>VLOOKUP($A27,Questions!$A$3:$L$333,12,0)&amp;""</f>
        <v>Organization</v>
      </c>
      <c r="F27" s="315" t="str">
        <f>VLOOKUP($A27,'Institution Evaluation'!$A$56:$K$345,3,0)&amp;""</f>
        <v>No</v>
      </c>
      <c r="G27" s="315" t="str">
        <f>VLOOKUP($A27,'Institution Evaluation'!$A$56:$K$345,7,0)&amp;""</f>
        <v>Yes</v>
      </c>
      <c r="H27" s="315" t="str">
        <f>VLOOKUP($A27,'Institution Evaluation'!$A$56:$K$345,8,0)&amp;""</f>
        <v/>
      </c>
      <c r="I27" s="315" t="str">
        <f>VLOOKUP($A27,'Institution Evaluation'!$A$56:$K$345,9,0)&amp;""</f>
        <v>Standard Importance</v>
      </c>
      <c r="J27" s="315" t="str">
        <f>VLOOKUP($A27,'Institution Evaluation'!$A$56:$K$345,10,0)&amp;""</f>
        <v/>
      </c>
      <c r="K27" s="315">
        <f>IF($I27='Auto Responses'!$J$11,20,IF($I27='Auto Responses'!$J$13,5,10))</f>
        <v>10</v>
      </c>
      <c r="L27" s="284">
        <f>IF($E27='Auto Responses'!$L$13, 'Auto Responses'!$J$5,IF(AND($D27='Auto Responses'!$J$27,$H27=""),'Auto Responses'!$J$5,IF(AND($D27='Auto Responses'!$J$27,$H27='Auto Responses'!$J$7),1,IF(AND($D27='Auto Responses'!$J$27,$H27='Auto Responses'!$J$8),0,IF(OR(AND($F27=$G27,$H27=""),$H27='Auto Responses'!$J$7),1,0)))))</f>
        <v>0</v>
      </c>
      <c r="M27" s="315" t="str">
        <f>VLOOKUP($A27,'Institution Evaluation'!$A$56:$K$345,11,0)&amp;""</f>
        <v>FALSCH</v>
      </c>
      <c r="N27" s="315">
        <f>IF($J27='Auto Responses'!$J$11,1,IF(AND($J27="",$I27='Auto Responses'!$J$11),1,0))</f>
        <v>0</v>
      </c>
      <c r="O27" s="284">
        <f>IF(OR($E27='Auto Responses'!$L$13,$F27='Auto Responses'!$J$5),'Auto Responses'!$J$5,IF($J27="",$K27,IF($J27='Auto Responses'!$J$13,5,IF($J27='Auto Responses'!$J$12,10,IF($J27='Auto Responses'!$J$11,20,0)))))</f>
        <v>10</v>
      </c>
      <c r="P27" s="284">
        <f>IF(OR($O27='Auto Responses'!$J$5,$L27='Auto Responses'!$J$5),'Auto Responses'!$J$5,$O27*$L27)</f>
        <v>0</v>
      </c>
      <c r="Q27" s="284">
        <f t="shared" si="1"/>
        <v>0</v>
      </c>
      <c r="R27" s="284">
        <f t="shared" si="5"/>
        <v>0</v>
      </c>
      <c r="S27" s="284">
        <f t="shared" si="2"/>
        <v>0</v>
      </c>
      <c r="T27" s="284">
        <f t="shared" si="3"/>
        <v>0</v>
      </c>
      <c r="U27" s="284">
        <f t="shared" si="6"/>
        <v>2</v>
      </c>
      <c r="V27" s="284">
        <f t="shared" si="4"/>
        <v>0</v>
      </c>
    </row>
    <row r="28" spans="1:22" ht="55.5" customHeight="1" x14ac:dyDescent="0.2">
      <c r="A28" s="315" t="str">
        <f>Questions!$A28</f>
        <v>DOCU-04</v>
      </c>
      <c r="B28" s="315" t="str">
        <f t="shared" si="0"/>
        <v>DOCU</v>
      </c>
      <c r="C28" s="315" t="str">
        <f>VLOOKUP($A28,Questions!$A$3:$L$333,2,0)&amp;""</f>
        <v>Do you conform with a specific industry standard security framework (e.g., NIST Cybersecurity Framework, CIS Controls, ISO 27001, etc.)?</v>
      </c>
      <c r="D28" s="315" t="str">
        <f>VLOOKUP($A28,Questions!$A$3:$L$333,11,0)&amp;""</f>
        <v/>
      </c>
      <c r="E28" s="315" t="str">
        <f>VLOOKUP($A28,Questions!$A$3:$L$333,12,0)&amp;""</f>
        <v>Organization</v>
      </c>
      <c r="F28" s="315" t="str">
        <f>VLOOKUP($A28,'Institution Evaluation'!$A$56:$K$345,3,0)&amp;""</f>
        <v>No</v>
      </c>
      <c r="G28" s="315" t="str">
        <f>VLOOKUP($A28,'Institution Evaluation'!$A$56:$K$345,7,0)&amp;""</f>
        <v>Yes</v>
      </c>
      <c r="H28" s="315" t="str">
        <f>VLOOKUP($A28,'Institution Evaluation'!$A$56:$K$345,8,0)&amp;""</f>
        <v/>
      </c>
      <c r="I28" s="315" t="str">
        <f>VLOOKUP($A28,'Institution Evaluation'!$A$56:$K$345,9,0)&amp;""</f>
        <v>Standard Importance</v>
      </c>
      <c r="J28" s="315" t="str">
        <f>VLOOKUP($A28,'Institution Evaluation'!$A$56:$K$345,10,0)&amp;""</f>
        <v/>
      </c>
      <c r="K28" s="315">
        <f>IF($I28='Auto Responses'!$J$11,20,IF($I28='Auto Responses'!$J$13,5,10))</f>
        <v>10</v>
      </c>
      <c r="L28" s="284">
        <f>IF($E28='Auto Responses'!$L$13, 'Auto Responses'!$J$5,IF(AND($D28='Auto Responses'!$J$27,$H28=""),'Auto Responses'!$J$5,IF(AND($D28='Auto Responses'!$J$27,$H28='Auto Responses'!$J$7),1,IF(AND($D28='Auto Responses'!$J$27,$H28='Auto Responses'!$J$8),0,IF(OR(AND($F28=$G28,$H28=""),$H28='Auto Responses'!$J$7),1,0)))))</f>
        <v>0</v>
      </c>
      <c r="M28" s="315" t="str">
        <f>VLOOKUP($A28,'Institution Evaluation'!$A$56:$K$345,11,0)&amp;""</f>
        <v>FALSCH</v>
      </c>
      <c r="N28" s="315">
        <f>IF($J28='Auto Responses'!$J$11,1,IF(AND($J28="",$I28='Auto Responses'!$J$11),1,0))</f>
        <v>0</v>
      </c>
      <c r="O28" s="284">
        <f>IF(OR($E28='Auto Responses'!$L$13,$F28='Auto Responses'!$J$5),'Auto Responses'!$J$5,IF($J28="",$K28,IF($J28='Auto Responses'!$J$13,5,IF($J28='Auto Responses'!$J$12,10,IF($J28='Auto Responses'!$J$11,20,0)))))</f>
        <v>10</v>
      </c>
      <c r="P28" s="284">
        <f>IF(OR($O28='Auto Responses'!$J$5,$L28='Auto Responses'!$J$5),'Auto Responses'!$J$5,$O28*$L28)</f>
        <v>0</v>
      </c>
      <c r="Q28" s="284">
        <f t="shared" si="1"/>
        <v>0</v>
      </c>
      <c r="R28" s="284">
        <f t="shared" si="5"/>
        <v>0</v>
      </c>
      <c r="S28" s="284">
        <f t="shared" si="2"/>
        <v>0</v>
      </c>
      <c r="T28" s="284">
        <f t="shared" si="3"/>
        <v>0</v>
      </c>
      <c r="U28" s="284">
        <f t="shared" si="6"/>
        <v>2</v>
      </c>
      <c r="V28" s="284">
        <f t="shared" si="4"/>
        <v>0</v>
      </c>
    </row>
    <row r="29" spans="1:22" ht="55.5" customHeight="1" x14ac:dyDescent="0.2">
      <c r="A29" s="315" t="str">
        <f>Questions!$A29</f>
        <v>DOCU-05</v>
      </c>
      <c r="B29" s="315" t="str">
        <f t="shared" si="0"/>
        <v>DOCU</v>
      </c>
      <c r="C29" s="315" t="str">
        <f>VLOOKUP($A29,Questions!$A$3:$L$333,2,0)&amp;""</f>
        <v>Can you provide overall system and/or application architecture diagrams, including a full description of the data flow for all components of the system?</v>
      </c>
      <c r="D29" s="315" t="str">
        <f>VLOOKUP($A29,Questions!$A$3:$L$333,11,0)&amp;""</f>
        <v/>
      </c>
      <c r="E29" s="315" t="str">
        <f>VLOOKUP($A29,Questions!$A$3:$L$333,12,0)&amp;""</f>
        <v>Organization</v>
      </c>
      <c r="F29" s="315" t="str">
        <f>VLOOKUP($A29,'Institution Evaluation'!$A$56:$K$345,3,0)&amp;""</f>
        <v>No</v>
      </c>
      <c r="G29" s="315" t="str">
        <f>VLOOKUP($A29,'Institution Evaluation'!$A$56:$K$345,7,0)&amp;""</f>
        <v>Yes</v>
      </c>
      <c r="H29" s="315" t="str">
        <f>VLOOKUP($A29,'Institution Evaluation'!$A$56:$K$345,8,0)&amp;""</f>
        <v/>
      </c>
      <c r="I29" s="315" t="str">
        <f>VLOOKUP($A29,'Institution Evaluation'!$A$56:$K$345,9,0)&amp;""</f>
        <v>Standard Importance</v>
      </c>
      <c r="J29" s="315" t="str">
        <f>VLOOKUP($A29,'Institution Evaluation'!$A$56:$K$345,10,0)&amp;""</f>
        <v/>
      </c>
      <c r="K29" s="315">
        <f>IF($I29='Auto Responses'!$J$11,20,IF($I29='Auto Responses'!$J$13,5,10))</f>
        <v>10</v>
      </c>
      <c r="L29" s="284">
        <f>IF($E29='Auto Responses'!$L$13, 'Auto Responses'!$J$5,IF(AND($D29='Auto Responses'!$J$27,$H29=""),'Auto Responses'!$J$5,IF(AND($D29='Auto Responses'!$J$27,$H29='Auto Responses'!$J$7),1,IF(AND($D29='Auto Responses'!$J$27,$H29='Auto Responses'!$J$8),0,IF(OR(AND($F29=$G29,$H29=""),$H29='Auto Responses'!$J$7),1,0)))))</f>
        <v>0</v>
      </c>
      <c r="M29" s="315" t="str">
        <f>VLOOKUP($A29,'Institution Evaluation'!$A$56:$K$345,11,0)&amp;""</f>
        <v>FALSCH</v>
      </c>
      <c r="N29" s="315">
        <f>IF($J29='Auto Responses'!$J$11,1,IF(AND($J29="",$I29='Auto Responses'!$J$11),1,0))</f>
        <v>0</v>
      </c>
      <c r="O29" s="284">
        <f>IF(OR($E29='Auto Responses'!$L$13,$F29='Auto Responses'!$J$5),'Auto Responses'!$J$5,IF($J29="",$K29,IF($J29='Auto Responses'!$J$13,5,IF($J29='Auto Responses'!$J$12,10,IF($J29='Auto Responses'!$J$11,20,0)))))</f>
        <v>10</v>
      </c>
      <c r="P29" s="284">
        <f>IF(OR($O29='Auto Responses'!$J$5,$L29='Auto Responses'!$J$5),'Auto Responses'!$J$5,$O29*$L29)</f>
        <v>0</v>
      </c>
      <c r="Q29" s="284">
        <f t="shared" si="1"/>
        <v>0</v>
      </c>
      <c r="R29" s="284">
        <f t="shared" si="5"/>
        <v>0</v>
      </c>
      <c r="S29" s="284">
        <f t="shared" si="2"/>
        <v>0</v>
      </c>
      <c r="T29" s="284">
        <f t="shared" si="3"/>
        <v>0</v>
      </c>
      <c r="U29" s="284">
        <f t="shared" si="6"/>
        <v>2</v>
      </c>
      <c r="V29" s="284">
        <f t="shared" si="4"/>
        <v>0</v>
      </c>
    </row>
    <row r="30" spans="1:22" ht="55.5" customHeight="1" x14ac:dyDescent="0.2">
      <c r="A30" s="315" t="str">
        <f>Questions!$A30</f>
        <v>DOCU-06</v>
      </c>
      <c r="B30" s="315" t="str">
        <f t="shared" si="0"/>
        <v>DOCU</v>
      </c>
      <c r="C30" s="315" t="str">
        <f>VLOOKUP($A30,Questions!$A$3:$L$333,2,0)&amp;""</f>
        <v>Does your organization have a data privacy policy?</v>
      </c>
      <c r="D30" s="315" t="str">
        <f>VLOOKUP($A30,Questions!$A$3:$L$333,11,0)&amp;""</f>
        <v/>
      </c>
      <c r="E30" s="315" t="str">
        <f>VLOOKUP($A30,Questions!$A$3:$L$333,12,0)&amp;""</f>
        <v>Organization</v>
      </c>
      <c r="F30" s="315" t="str">
        <f>VLOOKUP($A30,'Institution Evaluation'!$A$56:$K$345,3,0)&amp;""</f>
        <v>Yes</v>
      </c>
      <c r="G30" s="315" t="str">
        <f>VLOOKUP($A30,'Institution Evaluation'!$A$56:$K$345,7,0)&amp;""</f>
        <v>Yes</v>
      </c>
      <c r="H30" s="315" t="str">
        <f>VLOOKUP($A30,'Institution Evaluation'!$A$56:$K$345,8,0)&amp;""</f>
        <v/>
      </c>
      <c r="I30" s="315" t="str">
        <f>VLOOKUP($A30,'Institution Evaluation'!$A$56:$K$345,9,0)&amp;""</f>
        <v>Standard Importance</v>
      </c>
      <c r="J30" s="315" t="str">
        <f>VLOOKUP($A30,'Institution Evaluation'!$A$56:$K$345,10,0)&amp;""</f>
        <v/>
      </c>
      <c r="K30" s="315">
        <f>IF($I30='Auto Responses'!$J$11,20,IF($I30='Auto Responses'!$J$13,5,10))</f>
        <v>10</v>
      </c>
      <c r="L30" s="284">
        <f>IF($E30='Auto Responses'!$L$13, 'Auto Responses'!$J$5,IF(AND($D30='Auto Responses'!$J$27,$H30=""),'Auto Responses'!$J$5,IF(AND($D30='Auto Responses'!$J$27,$H30='Auto Responses'!$J$7),1,IF(AND($D30='Auto Responses'!$J$27,$H30='Auto Responses'!$J$8),0,IF(OR(AND($F30=$G30,$H30=""),$H30='Auto Responses'!$J$7),1,0)))))</f>
        <v>1</v>
      </c>
      <c r="M30" s="315" t="str">
        <f>VLOOKUP($A30,'Institution Evaluation'!$A$56:$K$345,11,0)&amp;""</f>
        <v>FALSCH</v>
      </c>
      <c r="N30" s="315">
        <f>IF($J30='Auto Responses'!$J$11,1,IF(AND($J30="",$I30='Auto Responses'!$J$11),1,0))</f>
        <v>0</v>
      </c>
      <c r="O30" s="284">
        <f>IF(OR($E30='Auto Responses'!$L$13,$F30='Auto Responses'!$J$5),'Auto Responses'!$J$5,IF($J30="",$K30,IF($J30='Auto Responses'!$J$13,5,IF($J30='Auto Responses'!$J$12,10,IF($J30='Auto Responses'!$J$11,20,0)))))</f>
        <v>10</v>
      </c>
      <c r="P30" s="284">
        <f>IF(OR($O30='Auto Responses'!$J$5,$L30='Auto Responses'!$J$5),'Auto Responses'!$J$5,$O30*$L30)</f>
        <v>10</v>
      </c>
      <c r="Q30" s="284">
        <f t="shared" si="1"/>
        <v>0</v>
      </c>
      <c r="R30" s="284">
        <f t="shared" si="5"/>
        <v>0</v>
      </c>
      <c r="S30" s="284">
        <f t="shared" si="2"/>
        <v>0</v>
      </c>
      <c r="T30" s="284">
        <f t="shared" si="3"/>
        <v>0</v>
      </c>
      <c r="U30" s="284">
        <f t="shared" si="6"/>
        <v>2</v>
      </c>
      <c r="V30" s="284">
        <f t="shared" si="4"/>
        <v>0</v>
      </c>
    </row>
    <row r="31" spans="1:22" ht="55.5" customHeight="1" x14ac:dyDescent="0.2">
      <c r="A31" s="315" t="str">
        <f>Questions!$A31</f>
        <v>DOCU-07</v>
      </c>
      <c r="B31" s="315" t="str">
        <f t="shared" si="0"/>
        <v>DOCU</v>
      </c>
      <c r="C31" s="315" t="str">
        <f>VLOOKUP($A31,Questions!$A$3:$L$333,2,0)&amp;""</f>
        <v>Do you have a documented, and currently implemented, employee onboarding and offboarding policy?</v>
      </c>
      <c r="D31" s="315" t="str">
        <f>VLOOKUP($A31,Questions!$A$3:$L$333,11,0)&amp;""</f>
        <v/>
      </c>
      <c r="E31" s="315" t="str">
        <f>VLOOKUP($A31,Questions!$A$3:$L$333,12,0)&amp;""</f>
        <v>Organization</v>
      </c>
      <c r="F31" s="315" t="str">
        <f>VLOOKUP($A31,'Institution Evaluation'!$A$56:$K$345,3,0)&amp;""</f>
        <v>No</v>
      </c>
      <c r="G31" s="315" t="str">
        <f>VLOOKUP($A31,'Institution Evaluation'!$A$56:$K$345,7,0)&amp;""</f>
        <v>Yes</v>
      </c>
      <c r="H31" s="315" t="str">
        <f>VLOOKUP($A31,'Institution Evaluation'!$A$56:$K$345,8,0)&amp;""</f>
        <v/>
      </c>
      <c r="I31" s="315" t="str">
        <f>VLOOKUP($A31,'Institution Evaluation'!$A$56:$K$345,9,0)&amp;""</f>
        <v>Standard Importance</v>
      </c>
      <c r="J31" s="315" t="str">
        <f>VLOOKUP($A31,'Institution Evaluation'!$A$56:$K$345,10,0)&amp;""</f>
        <v/>
      </c>
      <c r="K31" s="315">
        <f>IF($I31='Auto Responses'!$J$11,20,IF($I31='Auto Responses'!$J$13,5,10))</f>
        <v>10</v>
      </c>
      <c r="L31" s="284">
        <f>IF($E31='Auto Responses'!$L$13, 'Auto Responses'!$J$5,IF(AND($D31='Auto Responses'!$J$27,$H31=""),'Auto Responses'!$J$5,IF(AND($D31='Auto Responses'!$J$27,$H31='Auto Responses'!$J$7),1,IF(AND($D31='Auto Responses'!$J$27,$H31='Auto Responses'!$J$8),0,IF(OR(AND($F31=$G31,$H31=""),$H31='Auto Responses'!$J$7),1,0)))))</f>
        <v>0</v>
      </c>
      <c r="M31" s="315" t="str">
        <f>VLOOKUP($A31,'Institution Evaluation'!$A$56:$K$345,11,0)&amp;""</f>
        <v>FALSCH</v>
      </c>
      <c r="N31" s="315">
        <f>IF($J31='Auto Responses'!$J$11,1,IF(AND($J31="",$I31='Auto Responses'!$J$11),1,0))</f>
        <v>0</v>
      </c>
      <c r="O31" s="284">
        <f>IF(OR($E31='Auto Responses'!$L$13,$F31='Auto Responses'!$J$5),'Auto Responses'!$J$5,IF($J31="",$K31,IF($J31='Auto Responses'!$J$13,5,IF($J31='Auto Responses'!$J$12,10,IF($J31='Auto Responses'!$J$11,20,0)))))</f>
        <v>10</v>
      </c>
      <c r="P31" s="284">
        <f>IF(OR($O31='Auto Responses'!$J$5,$L31='Auto Responses'!$J$5),'Auto Responses'!$J$5,$O31*$L31)</f>
        <v>0</v>
      </c>
      <c r="Q31" s="284">
        <f t="shared" si="1"/>
        <v>0</v>
      </c>
      <c r="R31" s="284">
        <f t="shared" si="5"/>
        <v>0</v>
      </c>
      <c r="S31" s="284">
        <f t="shared" si="2"/>
        <v>0</v>
      </c>
      <c r="T31" s="284">
        <f t="shared" si="3"/>
        <v>0</v>
      </c>
      <c r="U31" s="284">
        <f t="shared" si="6"/>
        <v>2</v>
      </c>
      <c r="V31" s="284">
        <f t="shared" si="4"/>
        <v>0</v>
      </c>
    </row>
    <row r="32" spans="1:22" ht="55.5" customHeight="1" x14ac:dyDescent="0.2">
      <c r="A32" s="315" t="str">
        <f>Questions!$A32</f>
        <v>ITAC-01</v>
      </c>
      <c r="B32" s="315" t="str">
        <f t="shared" si="0"/>
        <v>ITAC</v>
      </c>
      <c r="C32" s="315" t="str">
        <f>VLOOKUP($A32,Questions!$A$3:$L$333,2,0)&amp;""</f>
        <v>Solution Provider Accessibility Contact Name</v>
      </c>
      <c r="D32" s="315" t="str">
        <f>VLOOKUP($A32,Questions!$A$3:$L$333,11,0)&amp;""</f>
        <v>NA</v>
      </c>
      <c r="E32" s="315" t="str">
        <f>VLOOKUP($A32,Questions!$A$3:$L$333,12,0)&amp;""</f>
        <v>Not Scored</v>
      </c>
      <c r="F32" s="315" t="str">
        <f>VLOOKUP($A32,'Institution Evaluation'!$A$56:$K$345,3,0)&amp;""</f>
        <v>Sven Wende</v>
      </c>
      <c r="G32" s="315" t="str">
        <f>VLOOKUP($A32,'Institution Evaluation'!$A$56:$K$345,7,0)&amp;""</f>
        <v>Not scored</v>
      </c>
      <c r="H32" s="315" t="str">
        <f>VLOOKUP($A32,'Institution Evaluation'!$A$56:$K$345,8,0)&amp;""</f>
        <v/>
      </c>
      <c r="I32" s="315" t="str">
        <f>VLOOKUP($A32,'Institution Evaluation'!$A$56:$K$345,9,0)&amp;""</f>
        <v/>
      </c>
      <c r="J32" s="315" t="str">
        <f>VLOOKUP($A32,'Institution Evaluation'!$A$56:$K$345,10,0)&amp;""</f>
        <v/>
      </c>
      <c r="K32" s="315">
        <f>IF($I32='Auto Responses'!$J$11,20,IF($I32='Auto Responses'!$J$13,5,10))</f>
        <v>10</v>
      </c>
      <c r="L32" s="284" t="str">
        <f>IF($E32='Auto Responses'!$L$13, 'Auto Responses'!$J$5,IF(AND($D32='Auto Responses'!$J$27,$H32=""),'Auto Responses'!$J$5,IF(AND($D32='Auto Responses'!$J$27,$H32='Auto Responses'!$J$7),1,IF(AND($D32='Auto Responses'!$J$27,$H32='Auto Responses'!$J$8),0,IF(OR(AND($F32=$G32,$H32=""),$H32='Auto Responses'!$J$7),1,0)))))</f>
        <v>N/A</v>
      </c>
      <c r="M32" s="315" t="str">
        <f>VLOOKUP($A32,'Institution Evaluation'!$A$56:$K$345,11,0)&amp;""</f>
        <v>FALSCH</v>
      </c>
      <c r="N32" s="315">
        <f>IF($J32='Auto Responses'!$J$11,1,IF(AND($J32="",$I32='Auto Responses'!$J$11),1,0))</f>
        <v>0</v>
      </c>
      <c r="O32" s="284" t="str">
        <f>IF(OR($F$18='Auto Responses'!$J$4,$E32='Auto Responses'!$L$13,$F32='Auto Responses'!$J$5),'Auto Responses'!$J$5,IF($J32="",$K32,IF($J32='Auto Responses'!$J$13,5,IF($J32='Auto Responses'!$J$12,10,IF($J32='Auto Responses'!$J$11,20,0)))))</f>
        <v>N/A</v>
      </c>
      <c r="P32" s="284" t="str">
        <f>IF(OR($O32='Auto Responses'!$J$5,$L32='Auto Responses'!$J$5),'Auto Responses'!$J$5,$O32*$L32)</f>
        <v>N/A</v>
      </c>
      <c r="Q32" s="284">
        <f t="shared" si="1"/>
        <v>0</v>
      </c>
      <c r="R32" s="284">
        <f t="shared" si="5"/>
        <v>0</v>
      </c>
      <c r="S32" s="284">
        <f t="shared" si="2"/>
        <v>0</v>
      </c>
      <c r="T32" s="284">
        <f t="shared" si="3"/>
        <v>0</v>
      </c>
      <c r="U32" s="284">
        <f t="shared" si="6"/>
        <v>2</v>
      </c>
      <c r="V32" s="284">
        <f t="shared" si="4"/>
        <v>0</v>
      </c>
    </row>
    <row r="33" spans="1:22" ht="55.5" customHeight="1" x14ac:dyDescent="0.2">
      <c r="A33" s="315" t="str">
        <f>Questions!$A33</f>
        <v>ITAC-02</v>
      </c>
      <c r="B33" s="315" t="str">
        <f t="shared" si="0"/>
        <v>ITAC</v>
      </c>
      <c r="C33" s="315" t="str">
        <f>VLOOKUP($A33,Questions!$A$3:$L$333,2,0)&amp;""</f>
        <v>Solution Provider Accessibility Contact Title</v>
      </c>
      <c r="D33" s="315" t="str">
        <f>VLOOKUP($A33,Questions!$A$3:$L$333,11,0)&amp;""</f>
        <v>NA</v>
      </c>
      <c r="E33" s="315" t="str">
        <f>VLOOKUP($A33,Questions!$A$3:$L$333,12,0)&amp;""</f>
        <v>Not Scored</v>
      </c>
      <c r="F33" s="315" t="str">
        <f>VLOOKUP($A33,'Institution Evaluation'!$A$56:$K$345,3,0)&amp;""</f>
        <v>Co-Founder &amp; Managing Director</v>
      </c>
      <c r="G33" s="315" t="str">
        <f>VLOOKUP($A33,'Institution Evaluation'!$A$56:$K$345,7,0)&amp;""</f>
        <v>Not scored</v>
      </c>
      <c r="H33" s="315" t="str">
        <f>VLOOKUP($A33,'Institution Evaluation'!$A$56:$K$345,8,0)&amp;""</f>
        <v/>
      </c>
      <c r="I33" s="315" t="str">
        <f>VLOOKUP($A33,'Institution Evaluation'!$A$56:$K$345,9,0)&amp;""</f>
        <v/>
      </c>
      <c r="J33" s="315" t="str">
        <f>VLOOKUP($A33,'Institution Evaluation'!$A$56:$K$345,10,0)&amp;""</f>
        <v/>
      </c>
      <c r="K33" s="315">
        <f>IF($I33='Auto Responses'!$J$11,20,IF($I33='Auto Responses'!$J$13,5,10))</f>
        <v>10</v>
      </c>
      <c r="L33" s="284" t="str">
        <f>IF($E33='Auto Responses'!$L$13, 'Auto Responses'!$J$5,IF(AND($D33='Auto Responses'!$J$27,$H33=""),'Auto Responses'!$J$5,IF(AND($D33='Auto Responses'!$J$27,$H33='Auto Responses'!$J$7),1,IF(AND($D33='Auto Responses'!$J$27,$H33='Auto Responses'!$J$8),0,IF(OR(AND($F33=$G33,$H33=""),$H33='Auto Responses'!$J$7),1,0)))))</f>
        <v>N/A</v>
      </c>
      <c r="M33" s="315" t="str">
        <f>VLOOKUP($A33,'Institution Evaluation'!$A$56:$K$345,11,0)&amp;""</f>
        <v>FALSCH</v>
      </c>
      <c r="N33" s="315">
        <f>IF($J33='Auto Responses'!$J$11,1,IF(AND($J33="",$I33='Auto Responses'!$J$11),1,0))</f>
        <v>0</v>
      </c>
      <c r="O33" s="284" t="str">
        <f>IF(OR($F$18='Auto Responses'!$J$4,$E33='Auto Responses'!$L$13,$F33='Auto Responses'!$J$5),'Auto Responses'!$J$5,IF($J33="",$K33,IF($J33='Auto Responses'!$J$13,5,IF($J33='Auto Responses'!$J$12,10,IF($J33='Auto Responses'!$J$11,20,0)))))</f>
        <v>N/A</v>
      </c>
      <c r="P33" s="284" t="str">
        <f>IF(OR($O33='Auto Responses'!$J$5,$L33='Auto Responses'!$J$5),'Auto Responses'!$J$5,$O33*$L33)</f>
        <v>N/A</v>
      </c>
      <c r="Q33" s="284">
        <f t="shared" si="1"/>
        <v>0</v>
      </c>
      <c r="R33" s="284">
        <f t="shared" si="5"/>
        <v>0</v>
      </c>
      <c r="S33" s="284">
        <f t="shared" si="2"/>
        <v>0</v>
      </c>
      <c r="T33" s="284">
        <f t="shared" si="3"/>
        <v>0</v>
      </c>
      <c r="U33" s="284">
        <f t="shared" si="6"/>
        <v>2</v>
      </c>
      <c r="V33" s="284">
        <f t="shared" si="4"/>
        <v>0</v>
      </c>
    </row>
    <row r="34" spans="1:22" ht="55.5" customHeight="1" x14ac:dyDescent="0.2">
      <c r="A34" s="315" t="str">
        <f>Questions!$A34</f>
        <v>ITAC-03</v>
      </c>
      <c r="B34" s="315" t="str">
        <f t="shared" si="0"/>
        <v>ITAC</v>
      </c>
      <c r="C34" s="315" t="str">
        <f>VLOOKUP($A34,Questions!$A$3:$L$333,2,0)&amp;""</f>
        <v>Solution Provider Accessibility Contact Email</v>
      </c>
      <c r="D34" s="315" t="str">
        <f>VLOOKUP($A34,Questions!$A$3:$L$333,11,0)&amp;""</f>
        <v>NA</v>
      </c>
      <c r="E34" s="315" t="str">
        <f>VLOOKUP($A34,Questions!$A$3:$L$333,12,0)&amp;""</f>
        <v>Not Scored</v>
      </c>
      <c r="F34" s="315" t="str">
        <f>VLOOKUP($A34,'Institution Evaluation'!$A$56:$K$345,3,0)&amp;""</f>
        <v>s.wende@smartpls.gmbh</v>
      </c>
      <c r="G34" s="315" t="str">
        <f>VLOOKUP($A34,'Institution Evaluation'!$A$56:$K$345,7,0)&amp;""</f>
        <v>Not scored</v>
      </c>
      <c r="H34" s="315" t="str">
        <f>VLOOKUP($A34,'Institution Evaluation'!$A$56:$K$345,8,0)&amp;""</f>
        <v/>
      </c>
      <c r="I34" s="315" t="str">
        <f>VLOOKUP($A34,'Institution Evaluation'!$A$56:$K$345,9,0)&amp;""</f>
        <v/>
      </c>
      <c r="J34" s="315" t="str">
        <f>VLOOKUP($A34,'Institution Evaluation'!$A$56:$K$345,10,0)&amp;""</f>
        <v/>
      </c>
      <c r="K34" s="315">
        <f>IF($I34='Auto Responses'!$J$11,20,IF($I34='Auto Responses'!$J$13,5,10))</f>
        <v>10</v>
      </c>
      <c r="L34" s="284" t="str">
        <f>IF($E34='Auto Responses'!$L$13, 'Auto Responses'!$J$5,IF(AND($D34='Auto Responses'!$J$27,$H34=""),'Auto Responses'!$J$5,IF(AND($D34='Auto Responses'!$J$27,$H34='Auto Responses'!$J$7),1,IF(AND($D34='Auto Responses'!$J$27,$H34='Auto Responses'!$J$8),0,IF(OR(AND($F34=$G34,$H34=""),$H34='Auto Responses'!$J$7),1,0)))))</f>
        <v>N/A</v>
      </c>
      <c r="M34" s="315" t="str">
        <f>VLOOKUP($A34,'Institution Evaluation'!$A$56:$K$345,11,0)&amp;""</f>
        <v>FALSCH</v>
      </c>
      <c r="N34" s="315">
        <f>IF($J34='Auto Responses'!$J$11,1,IF(AND($J34="",$I34='Auto Responses'!$J$11),1,0))</f>
        <v>0</v>
      </c>
      <c r="O34" s="284" t="str">
        <f>IF(OR($F$18='Auto Responses'!$J$4,$E34='Auto Responses'!$L$13,$F34='Auto Responses'!$J$5),'Auto Responses'!$J$5,IF($J34="",$K34,IF($J34='Auto Responses'!$J$13,5,IF($J34='Auto Responses'!$J$12,10,IF($J34='Auto Responses'!$J$11,20,0)))))</f>
        <v>N/A</v>
      </c>
      <c r="P34" s="284" t="str">
        <f>IF(OR($O34='Auto Responses'!$J$5,$L34='Auto Responses'!$J$5),'Auto Responses'!$J$5,$O34*$L34)</f>
        <v>N/A</v>
      </c>
      <c r="Q34" s="284">
        <f t="shared" si="1"/>
        <v>0</v>
      </c>
      <c r="R34" s="284">
        <f t="shared" si="5"/>
        <v>0</v>
      </c>
      <c r="S34" s="284">
        <f t="shared" si="2"/>
        <v>0</v>
      </c>
      <c r="T34" s="284">
        <f t="shared" si="3"/>
        <v>0</v>
      </c>
      <c r="U34" s="284">
        <f t="shared" si="6"/>
        <v>2</v>
      </c>
      <c r="V34" s="284">
        <f t="shared" si="4"/>
        <v>0</v>
      </c>
    </row>
    <row r="35" spans="1:22" ht="55.5" customHeight="1" x14ac:dyDescent="0.2">
      <c r="A35" s="315" t="str">
        <f>Questions!$A35</f>
        <v>ITAC-04</v>
      </c>
      <c r="B35" s="315" t="str">
        <f t="shared" si="0"/>
        <v>ITAC</v>
      </c>
      <c r="C35" s="315" t="str">
        <f>VLOOKUP($A35,Questions!$A$3:$L$333,2,0)&amp;""</f>
        <v>Solution Provider Accessibility Contact Phone Number</v>
      </c>
      <c r="D35" s="315" t="str">
        <f>VLOOKUP($A35,Questions!$A$3:$L$333,11,0)&amp;""</f>
        <v>NA</v>
      </c>
      <c r="E35" s="315" t="str">
        <f>VLOOKUP($A35,Questions!$A$3:$L$333,12,0)&amp;""</f>
        <v>Not Scored</v>
      </c>
      <c r="F35" s="315" t="str">
        <f>VLOOKUP($A35,'Institution Evaluation'!$A$56:$K$345,3,0)&amp;""</f>
        <v>+49 21732643460</v>
      </c>
      <c r="G35" s="315" t="str">
        <f>VLOOKUP($A35,'Institution Evaluation'!$A$56:$K$345,7,0)&amp;""</f>
        <v>Not scored</v>
      </c>
      <c r="H35" s="315" t="str">
        <f>VLOOKUP($A35,'Institution Evaluation'!$A$56:$K$345,8,0)&amp;""</f>
        <v/>
      </c>
      <c r="I35" s="315" t="str">
        <f>VLOOKUP($A35,'Institution Evaluation'!$A$56:$K$345,9,0)&amp;""</f>
        <v/>
      </c>
      <c r="J35" s="315" t="str">
        <f>VLOOKUP($A35,'Institution Evaluation'!$A$56:$K$345,10,0)&amp;""</f>
        <v/>
      </c>
      <c r="K35" s="315">
        <f>IF($I35='Auto Responses'!$J$11,20,IF($I35='Auto Responses'!$J$13,5,10))</f>
        <v>10</v>
      </c>
      <c r="L35" s="284" t="str">
        <f>IF($E35='Auto Responses'!$L$13, 'Auto Responses'!$J$5,IF(AND($D35='Auto Responses'!$J$27,$H35=""),'Auto Responses'!$J$5,IF(AND($D35='Auto Responses'!$J$27,$H35='Auto Responses'!$J$7),1,IF(AND($D35='Auto Responses'!$J$27,$H35='Auto Responses'!$J$8),0,IF(OR(AND($F35=$G35,$H35=""),$H35='Auto Responses'!$J$7),1,0)))))</f>
        <v>N/A</v>
      </c>
      <c r="M35" s="315" t="str">
        <f>VLOOKUP($A35,'Institution Evaluation'!$A$56:$K$345,11,0)&amp;""</f>
        <v>FALSCH</v>
      </c>
      <c r="N35" s="315">
        <f>IF($J35='Auto Responses'!$J$11,1,IF(AND($J35="",$I35='Auto Responses'!$J$11),1,0))</f>
        <v>0</v>
      </c>
      <c r="O35" s="284" t="str">
        <f>IF(OR($F$18='Auto Responses'!$J$4,$E35='Auto Responses'!$L$13,$F35='Auto Responses'!$J$5),'Auto Responses'!$J$5,IF($J35="",$K35,IF($J35='Auto Responses'!$J$13,5,IF($J35='Auto Responses'!$J$12,10,IF($J35='Auto Responses'!$J$11,20,0)))))</f>
        <v>N/A</v>
      </c>
      <c r="P35" s="284" t="str">
        <f>IF(OR($O35='Auto Responses'!$J$5,$L35='Auto Responses'!$J$5),'Auto Responses'!$J$5,$O35*$L35)</f>
        <v>N/A</v>
      </c>
      <c r="Q35" s="284">
        <f t="shared" si="1"/>
        <v>0</v>
      </c>
      <c r="R35" s="284">
        <f t="shared" si="5"/>
        <v>0</v>
      </c>
      <c r="S35" s="284">
        <f t="shared" si="2"/>
        <v>0</v>
      </c>
      <c r="T35" s="284">
        <f t="shared" si="3"/>
        <v>0</v>
      </c>
      <c r="U35" s="284">
        <f t="shared" si="6"/>
        <v>2</v>
      </c>
      <c r="V35" s="284">
        <f t="shared" si="4"/>
        <v>0</v>
      </c>
    </row>
    <row r="36" spans="1:22" ht="55.5" customHeight="1" x14ac:dyDescent="0.2">
      <c r="A36" s="315" t="str">
        <f>Questions!$A36</f>
        <v>ITAC-05</v>
      </c>
      <c r="B36" s="315" t="str">
        <f t="shared" si="0"/>
        <v>ITAC</v>
      </c>
      <c r="C36" s="315" t="str">
        <f>VLOOKUP($A36,Questions!$A$3:$L$333,2,0)&amp;""</f>
        <v>Web Link to Accessibility Statement or VPAT</v>
      </c>
      <c r="D36" s="315" t="str">
        <f>VLOOKUP($A36,Questions!$A$3:$L$333,11,0)&amp;""</f>
        <v/>
      </c>
      <c r="E36" s="315" t="str">
        <f>VLOOKUP($A36,Questions!$A$3:$L$333,12,0)&amp;""</f>
        <v>Not Scored</v>
      </c>
      <c r="F36" s="315" t="str">
        <f>VLOOKUP($A36,'Institution Evaluation'!$A$56:$K$345,3,0)&amp;""</f>
        <v>https://smartpls.com/vpat</v>
      </c>
      <c r="G36" s="315" t="str">
        <f>VLOOKUP($A36,'Institution Evaluation'!$A$56:$K$345,7,0)&amp;""</f>
        <v>Not scored</v>
      </c>
      <c r="H36" s="315" t="str">
        <f>VLOOKUP($A36,'Institution Evaluation'!$A$56:$K$345,8,0)&amp;""</f>
        <v/>
      </c>
      <c r="I36" s="315" t="str">
        <f>VLOOKUP($A36,'Institution Evaluation'!$A$56:$K$345,9,0)&amp;""</f>
        <v/>
      </c>
      <c r="J36" s="315" t="str">
        <f>VLOOKUP($A36,'Institution Evaluation'!$A$56:$K$345,10,0)&amp;""</f>
        <v/>
      </c>
      <c r="K36" s="315">
        <f>IF($I36='Auto Responses'!$J$11,20,IF($I36='Auto Responses'!$J$13,5,10))</f>
        <v>10</v>
      </c>
      <c r="L36" s="284" t="str">
        <f>IF($E36='Auto Responses'!$L$13, 'Auto Responses'!$J$5,IF(AND($D36='Auto Responses'!$J$27,$H36=""),'Auto Responses'!$J$5,IF(AND($D36='Auto Responses'!$J$27,$H36='Auto Responses'!$J$7),1,IF(AND($D36='Auto Responses'!$J$27,$H36='Auto Responses'!$J$8),0,IF(OR(AND($F36=$G36,$H36=""),$H36='Auto Responses'!$J$7),1,0)))))</f>
        <v>N/A</v>
      </c>
      <c r="M36" s="315" t="str">
        <f>VLOOKUP($A36,'Institution Evaluation'!$A$56:$K$345,11,0)&amp;""</f>
        <v>FALSCH</v>
      </c>
      <c r="N36" s="315">
        <f>IF($J36='Auto Responses'!$J$11,1,IF(AND($J36="",$I36='Auto Responses'!$J$11),1,0))</f>
        <v>0</v>
      </c>
      <c r="O36" s="284" t="str">
        <f>IF(OR($F$18='Auto Responses'!$J$4,$E36='Auto Responses'!$L$13,$F36='Auto Responses'!$J$5),'Auto Responses'!$J$5,IF($J36="",$K36,IF($J36='Auto Responses'!$J$13,5,IF($J36='Auto Responses'!$J$12,10,IF($J36='Auto Responses'!$J$11,20,0)))))</f>
        <v>N/A</v>
      </c>
      <c r="P36" s="284" t="str">
        <f>IF(OR($O36='Auto Responses'!$J$5,$L36='Auto Responses'!$J$5),'Auto Responses'!$J$5,$O36*$L36)</f>
        <v>N/A</v>
      </c>
      <c r="Q36" s="284">
        <f t="shared" si="1"/>
        <v>0</v>
      </c>
      <c r="R36" s="284">
        <f t="shared" si="5"/>
        <v>0</v>
      </c>
      <c r="S36" s="284">
        <f t="shared" si="2"/>
        <v>0</v>
      </c>
      <c r="T36" s="284">
        <f t="shared" si="3"/>
        <v>0</v>
      </c>
      <c r="U36" s="284">
        <f t="shared" si="6"/>
        <v>2</v>
      </c>
      <c r="V36" s="284">
        <f t="shared" si="4"/>
        <v>0</v>
      </c>
    </row>
    <row r="37" spans="1:22" ht="55.5" customHeight="1" x14ac:dyDescent="0.2">
      <c r="A37" s="315" t="str">
        <f>Questions!$A37</f>
        <v>ITAC-06</v>
      </c>
      <c r="B37" s="315" t="str">
        <f t="shared" si="0"/>
        <v>ITAC</v>
      </c>
      <c r="C37" s="315" t="str">
        <f>VLOOKUP($A37,Questions!$A$3:$L$333,2,0)&amp;""</f>
        <v>Has a VPAT or ACR been created or updated for the solution and version under consideration within the past 12 months?*</v>
      </c>
      <c r="D37" s="315" t="str">
        <f>VLOOKUP($A37,Questions!$A$3:$L$333,11,0)&amp;""</f>
        <v/>
      </c>
      <c r="E37" s="315" t="str">
        <f>VLOOKUP($A37,Questions!$A$3:$L$333,12,0)&amp;""</f>
        <v>IT Accessibility</v>
      </c>
      <c r="F37" s="315" t="str">
        <f>VLOOKUP($A37,'Institution Evaluation'!$A$56:$K$345,3,0)&amp;""</f>
        <v>Yes</v>
      </c>
      <c r="G37" s="315" t="str">
        <f>VLOOKUP($A37,'Institution Evaluation'!$A$56:$K$345,7,0)&amp;""</f>
        <v>Yes</v>
      </c>
      <c r="H37" s="315" t="str">
        <f>VLOOKUP($A37,'Institution Evaluation'!$A$56:$K$345,8,0)&amp;""</f>
        <v/>
      </c>
      <c r="I37" s="315" t="str">
        <f>VLOOKUP($A37,'Institution Evaluation'!$A$56:$K$345,9,0)&amp;""</f>
        <v>Critical Importance</v>
      </c>
      <c r="J37" s="315" t="str">
        <f>VLOOKUP($A37,'Institution Evaluation'!$A$56:$K$345,10,0)&amp;""</f>
        <v/>
      </c>
      <c r="K37" s="315">
        <f>IF($I37='Auto Responses'!$J$11,20,IF($I37='Auto Responses'!$J$13,5,10))</f>
        <v>20</v>
      </c>
      <c r="L37" s="284">
        <f>IF($E37='Auto Responses'!$L$13, 'Auto Responses'!$J$5,IF(AND($D37='Auto Responses'!$J$27,$H37=""),'Auto Responses'!$J$5,IF(AND($D37='Auto Responses'!$J$27,$H37='Auto Responses'!$J$7),1,IF(AND($D37='Auto Responses'!$J$27,$H37='Auto Responses'!$J$8),0,IF(OR(AND($F37=$G37,$H37=""),$H37='Auto Responses'!$J$7),1,0)))))</f>
        <v>1</v>
      </c>
      <c r="M37" s="315" t="str">
        <f>VLOOKUP($A37,'Institution Evaluation'!$A$56:$K$345,11,0)&amp;""</f>
        <v>FALSCH</v>
      </c>
      <c r="N37" s="315">
        <f>IF($J37='Auto Responses'!$J$11,1,IF(AND($J37="",$I37='Auto Responses'!$J$11),1,0))</f>
        <v>1</v>
      </c>
      <c r="O37" s="284">
        <f>IF(OR($F$18='Auto Responses'!$J$4,$E37='Auto Responses'!$L$13,$F37='Auto Responses'!$J$5),'Auto Responses'!$J$5,IF($J37="",$K37,IF($J37='Auto Responses'!$J$13,5,IF($J37='Auto Responses'!$J$12,10,IF($J37='Auto Responses'!$J$11,20,0)))))</f>
        <v>20</v>
      </c>
      <c r="P37" s="284">
        <f>IF(OR($O37='Auto Responses'!$J$5,$L37='Auto Responses'!$J$5),'Auto Responses'!$J$5,$O37*$L37)</f>
        <v>20</v>
      </c>
      <c r="Q37" s="284">
        <f t="shared" si="1"/>
        <v>0</v>
      </c>
      <c r="R37" s="284">
        <f t="shared" si="5"/>
        <v>0</v>
      </c>
      <c r="S37" s="284">
        <f t="shared" si="2"/>
        <v>0</v>
      </c>
      <c r="T37" s="284">
        <f t="shared" si="3"/>
        <v>1</v>
      </c>
      <c r="U37" s="284">
        <f t="shared" si="6"/>
        <v>3</v>
      </c>
      <c r="V37" s="284">
        <f t="shared" si="4"/>
        <v>3</v>
      </c>
    </row>
    <row r="38" spans="1:22" ht="55.5" customHeight="1" x14ac:dyDescent="0.2">
      <c r="A38" s="315" t="str">
        <f>Questions!$A38</f>
        <v>ITAC-07</v>
      </c>
      <c r="B38" s="315" t="str">
        <f t="shared" si="0"/>
        <v>ITAC</v>
      </c>
      <c r="C38" s="315" t="str">
        <f>VLOOKUP($A38,Questions!$A$3:$L$333,2,0)&amp;""</f>
        <v>Will your company agree to meet your stated accessibility standard or WCAG 2.1 AA as part of your contractual agreement for the solution?*</v>
      </c>
      <c r="D38" s="315" t="str">
        <f>VLOOKUP($A38,Questions!$A$3:$L$333,11,0)&amp;""</f>
        <v/>
      </c>
      <c r="E38" s="315" t="str">
        <f>VLOOKUP($A38,Questions!$A$3:$L$333,12,0)&amp;""</f>
        <v>IT Accessibility</v>
      </c>
      <c r="F38" s="315" t="str">
        <f>VLOOKUP($A38,'Institution Evaluation'!$A$56:$K$345,3,0)&amp;""</f>
        <v>No</v>
      </c>
      <c r="G38" s="315" t="str">
        <f>VLOOKUP($A38,'Institution Evaluation'!$A$56:$K$345,7,0)&amp;""</f>
        <v>Yes</v>
      </c>
      <c r="H38" s="315" t="str">
        <f>VLOOKUP($A38,'Institution Evaluation'!$A$56:$K$345,8,0)&amp;""</f>
        <v/>
      </c>
      <c r="I38" s="315" t="str">
        <f>VLOOKUP($A38,'Institution Evaluation'!$A$56:$K$345,9,0)&amp;""</f>
        <v>Critical Importance</v>
      </c>
      <c r="J38" s="315" t="str">
        <f>VLOOKUP($A38,'Institution Evaluation'!$A$56:$K$345,10,0)&amp;""</f>
        <v/>
      </c>
      <c r="K38" s="315">
        <f>IF($I38='Auto Responses'!$J$11,20,IF($I38='Auto Responses'!$J$13,5,10))</f>
        <v>20</v>
      </c>
      <c r="L38" s="284">
        <f>IF($E38='Auto Responses'!$L$13, 'Auto Responses'!$J$5,IF(AND($D38='Auto Responses'!$J$27,$H38=""),'Auto Responses'!$J$5,IF(AND($D38='Auto Responses'!$J$27,$H38='Auto Responses'!$J$7),1,IF(AND($D38='Auto Responses'!$J$27,$H38='Auto Responses'!$J$8),0,IF(OR(AND($F38=$G38,$H38=""),$H38='Auto Responses'!$J$7),1,0)))))</f>
        <v>0</v>
      </c>
      <c r="M38" s="315" t="str">
        <f>VLOOKUP($A38,'Institution Evaluation'!$A$56:$K$345,11,0)&amp;""</f>
        <v>FALSCH</v>
      </c>
      <c r="N38" s="315">
        <f>IF($J38='Auto Responses'!$J$11,1,IF(AND($J38="",$I38='Auto Responses'!$J$11),1,0))</f>
        <v>1</v>
      </c>
      <c r="O38" s="284">
        <f>IF(OR($F$18='Auto Responses'!$J$4,$E38='Auto Responses'!$L$13,$F38='Auto Responses'!$J$5),'Auto Responses'!$J$5,IF($J38="",$K38,IF($J38='Auto Responses'!$J$13,5,IF($J38='Auto Responses'!$J$12,10,IF($J38='Auto Responses'!$J$11,20,0)))))</f>
        <v>20</v>
      </c>
      <c r="P38" s="284">
        <f>IF(OR($O38='Auto Responses'!$J$5,$L38='Auto Responses'!$J$5),'Auto Responses'!$J$5,$O38*$L38)</f>
        <v>0</v>
      </c>
      <c r="Q38" s="284">
        <f t="shared" si="1"/>
        <v>0</v>
      </c>
      <c r="R38" s="284">
        <f t="shared" si="5"/>
        <v>0</v>
      </c>
      <c r="S38" s="284">
        <f t="shared" si="2"/>
        <v>0</v>
      </c>
      <c r="T38" s="284">
        <f t="shared" si="3"/>
        <v>1</v>
      </c>
      <c r="U38" s="284">
        <f t="shared" si="6"/>
        <v>4</v>
      </c>
      <c r="V38" s="284">
        <f t="shared" si="4"/>
        <v>4</v>
      </c>
    </row>
    <row r="39" spans="1:22" ht="55.5" customHeight="1" x14ac:dyDescent="0.2">
      <c r="A39" s="315" t="str">
        <f>Questions!$A39</f>
        <v>ITAC-08</v>
      </c>
      <c r="B39" s="315" t="str">
        <f t="shared" si="0"/>
        <v>ITAC</v>
      </c>
      <c r="C39" s="315" t="str">
        <f>VLOOKUP($A39,Questions!$A$3:$L$333,2,0)&amp;""</f>
        <v>Does the solution substantially conform to WCAG 2.1 AA?*</v>
      </c>
      <c r="D39" s="315" t="str">
        <f>VLOOKUP($A39,Questions!$A$3:$L$333,11,0)&amp;""</f>
        <v/>
      </c>
      <c r="E39" s="315" t="str">
        <f>VLOOKUP($A39,Questions!$A$3:$L$333,12,0)&amp;""</f>
        <v>IT Accessibility</v>
      </c>
      <c r="F39" s="315" t="str">
        <f>VLOOKUP($A39,'Institution Evaluation'!$A$56:$K$345,3,0)&amp;""</f>
        <v>No</v>
      </c>
      <c r="G39" s="315" t="str">
        <f>VLOOKUP($A39,'Institution Evaluation'!$A$56:$K$345,7,0)&amp;""</f>
        <v>Yes</v>
      </c>
      <c r="H39" s="315" t="str">
        <f>VLOOKUP($A39,'Institution Evaluation'!$A$56:$K$345,8,0)&amp;""</f>
        <v/>
      </c>
      <c r="I39" s="315" t="str">
        <f>VLOOKUP($A39,'Institution Evaluation'!$A$56:$K$345,9,0)&amp;""</f>
        <v>Critical Importance</v>
      </c>
      <c r="J39" s="315" t="str">
        <f>VLOOKUP($A39,'Institution Evaluation'!$A$56:$K$345,10,0)&amp;""</f>
        <v/>
      </c>
      <c r="K39" s="315">
        <f>IF($I39='Auto Responses'!$J$11,20,IF($I39='Auto Responses'!$J$13,5,10))</f>
        <v>20</v>
      </c>
      <c r="L39" s="284">
        <f>IF($E39='Auto Responses'!$L$13, 'Auto Responses'!$J$5,IF(AND($D39='Auto Responses'!$J$27,$H39=""),'Auto Responses'!$J$5,IF(AND($D39='Auto Responses'!$J$27,$H39='Auto Responses'!$J$7),1,IF(AND($D39='Auto Responses'!$J$27,$H39='Auto Responses'!$J$8),0,IF(OR(AND($F39=$G39,$H39=""),$H39='Auto Responses'!$J$7),1,0)))))</f>
        <v>0</v>
      </c>
      <c r="M39" s="315" t="str">
        <f>VLOOKUP($A39,'Institution Evaluation'!$A$56:$K$345,11,0)&amp;""</f>
        <v>FALSCH</v>
      </c>
      <c r="N39" s="315">
        <f>IF($J39='Auto Responses'!$J$11,1,IF(AND($J39="",$I39='Auto Responses'!$J$11),1,0))</f>
        <v>1</v>
      </c>
      <c r="O39" s="284">
        <f>IF(OR($F$18='Auto Responses'!$J$4,$E39='Auto Responses'!$L$13,$F39='Auto Responses'!$J$5),'Auto Responses'!$J$5,IF($J39="",$K39,IF($J39='Auto Responses'!$J$13,5,IF($J39='Auto Responses'!$J$12,10,IF($J39='Auto Responses'!$J$11,20,0)))))</f>
        <v>20</v>
      </c>
      <c r="P39" s="284">
        <f>IF(OR($O39='Auto Responses'!$J$5,$L39='Auto Responses'!$J$5),'Auto Responses'!$J$5,$O39*$L39)</f>
        <v>0</v>
      </c>
      <c r="Q39" s="284">
        <f t="shared" si="1"/>
        <v>0</v>
      </c>
      <c r="R39" s="284">
        <f t="shared" si="5"/>
        <v>0</v>
      </c>
      <c r="S39" s="284">
        <f t="shared" si="2"/>
        <v>0</v>
      </c>
      <c r="T39" s="284">
        <f t="shared" si="3"/>
        <v>1</v>
      </c>
      <c r="U39" s="284">
        <f t="shared" si="6"/>
        <v>5</v>
      </c>
      <c r="V39" s="284">
        <f t="shared" si="4"/>
        <v>5</v>
      </c>
    </row>
    <row r="40" spans="1:22" ht="55.5" customHeight="1" x14ac:dyDescent="0.2">
      <c r="A40" s="315" t="str">
        <f>Questions!$A40</f>
        <v>ITAC-09</v>
      </c>
      <c r="B40" s="315" t="str">
        <f t="shared" si="0"/>
        <v>ITAC</v>
      </c>
      <c r="C40" s="315" t="str">
        <f>VLOOKUP($A40,Questions!$A$3:$L$333,2,0)&amp;""</f>
        <v>Do you have a documented and implemented process for reporting and tracking accessibility issues?*</v>
      </c>
      <c r="D40" s="315" t="str">
        <f>VLOOKUP($A40,Questions!$A$3:$L$333,11,0)&amp;""</f>
        <v/>
      </c>
      <c r="E40" s="315" t="str">
        <f>VLOOKUP($A40,Questions!$A$3:$L$333,12,0)&amp;""</f>
        <v>IT Accessibility</v>
      </c>
      <c r="F40" s="315" t="str">
        <f>VLOOKUP($A40,'Institution Evaluation'!$A$56:$K$345,3,0)&amp;""</f>
        <v>Yes</v>
      </c>
      <c r="G40" s="315" t="str">
        <f>VLOOKUP($A40,'Institution Evaluation'!$A$56:$K$345,7,0)&amp;""</f>
        <v>Yes</v>
      </c>
      <c r="H40" s="315" t="str">
        <f>VLOOKUP($A40,'Institution Evaluation'!$A$56:$K$345,8,0)&amp;""</f>
        <v/>
      </c>
      <c r="I40" s="315" t="str">
        <f>VLOOKUP($A40,'Institution Evaluation'!$A$56:$K$345,9,0)&amp;""</f>
        <v>Critical Importance</v>
      </c>
      <c r="J40" s="315" t="str">
        <f>VLOOKUP($A40,'Institution Evaluation'!$A$56:$K$345,10,0)&amp;""</f>
        <v/>
      </c>
      <c r="K40" s="315">
        <f>IF($I40='Auto Responses'!$J$11,20,IF($I40='Auto Responses'!$J$13,5,10))</f>
        <v>20</v>
      </c>
      <c r="L40" s="284">
        <f>IF($E40='Auto Responses'!$L$13, 'Auto Responses'!$J$5,IF(AND($D40='Auto Responses'!$J$27,$H40=""),'Auto Responses'!$J$5,IF(AND($D40='Auto Responses'!$J$27,$H40='Auto Responses'!$J$7),1,IF(AND($D40='Auto Responses'!$J$27,$H40='Auto Responses'!$J$8),0,IF(OR(AND($F40=$G40,$H40=""),$H40='Auto Responses'!$J$7),1,0)))))</f>
        <v>1</v>
      </c>
      <c r="M40" s="315" t="str">
        <f>VLOOKUP($A40,'Institution Evaluation'!$A$56:$K$345,11,0)&amp;""</f>
        <v>FALSCH</v>
      </c>
      <c r="N40" s="315">
        <f>IF($J40='Auto Responses'!$J$11,1,IF(AND($J40="",$I40='Auto Responses'!$J$11),1,0))</f>
        <v>1</v>
      </c>
      <c r="O40" s="284">
        <f>IF(OR($F$18='Auto Responses'!$J$4,$E40='Auto Responses'!$L$13,$F40='Auto Responses'!$J$5),'Auto Responses'!$J$5,IF($J40="",$K40,IF($J40='Auto Responses'!$J$13,5,IF($J40='Auto Responses'!$J$12,10,IF($J40='Auto Responses'!$J$11,20,0)))))</f>
        <v>20</v>
      </c>
      <c r="P40" s="284">
        <f>IF(OR($O40='Auto Responses'!$J$5,$L40='Auto Responses'!$J$5),'Auto Responses'!$J$5,$O40*$L40)</f>
        <v>20</v>
      </c>
      <c r="Q40" s="284">
        <f t="shared" si="1"/>
        <v>0</v>
      </c>
      <c r="R40" s="284">
        <f t="shared" si="5"/>
        <v>0</v>
      </c>
      <c r="S40" s="284">
        <f t="shared" si="2"/>
        <v>0</v>
      </c>
      <c r="T40" s="284">
        <f t="shared" si="3"/>
        <v>1</v>
      </c>
      <c r="U40" s="284">
        <f t="shared" si="6"/>
        <v>6</v>
      </c>
      <c r="V40" s="284">
        <f t="shared" si="4"/>
        <v>6</v>
      </c>
    </row>
    <row r="41" spans="1:22" ht="55.5" customHeight="1" x14ac:dyDescent="0.2">
      <c r="A41" s="315" t="str">
        <f>Questions!$A41</f>
        <v>ITAC-10</v>
      </c>
      <c r="B41" s="315" t="str">
        <f t="shared" si="0"/>
        <v>ITAC</v>
      </c>
      <c r="C41" s="315" t="str">
        <f>VLOOKUP($A41,Questions!$A$3:$L$333,2,0)&amp;""</f>
        <v>Do you have documentation to support the accessibility features of your solution?</v>
      </c>
      <c r="D41" s="315" t="str">
        <f>VLOOKUP($A41,Questions!$A$3:$L$333,11,0)&amp;""</f>
        <v/>
      </c>
      <c r="E41" s="315" t="str">
        <f>VLOOKUP($A41,Questions!$A$3:$L$333,12,0)&amp;""</f>
        <v>IT Accessibility</v>
      </c>
      <c r="F41" s="315" t="str">
        <f>VLOOKUP($A41,'Institution Evaluation'!$A$56:$K$345,3,0)&amp;""</f>
        <v>Yes</v>
      </c>
      <c r="G41" s="315" t="str">
        <f>VLOOKUP($A41,'Institution Evaluation'!$A$56:$K$345,7,0)&amp;""</f>
        <v>Yes</v>
      </c>
      <c r="H41" s="315" t="str">
        <f>VLOOKUP($A41,'Institution Evaluation'!$A$56:$K$345,8,0)&amp;""</f>
        <v/>
      </c>
      <c r="I41" s="315" t="str">
        <f>VLOOKUP($A41,'Institution Evaluation'!$A$56:$K$345,9,0)&amp;""</f>
        <v>Standard Importance</v>
      </c>
      <c r="J41" s="315" t="str">
        <f>VLOOKUP($A41,'Institution Evaluation'!$A$56:$K$345,10,0)&amp;""</f>
        <v/>
      </c>
      <c r="K41" s="315">
        <f>IF($I41='Auto Responses'!$J$11,20,IF($I41='Auto Responses'!$J$13,5,10))</f>
        <v>10</v>
      </c>
      <c r="L41" s="284">
        <f>IF($E41='Auto Responses'!$L$13, 'Auto Responses'!$J$5,IF(AND($D41='Auto Responses'!$J$27,$H41=""),'Auto Responses'!$J$5,IF(AND($D41='Auto Responses'!$J$27,$H41='Auto Responses'!$J$7),1,IF(AND($D41='Auto Responses'!$J$27,$H41='Auto Responses'!$J$8),0,IF(OR(AND($F41=$G41,$H41=""),$H41='Auto Responses'!$J$7),1,0)))))</f>
        <v>1</v>
      </c>
      <c r="M41" s="315" t="str">
        <f>VLOOKUP($A41,'Institution Evaluation'!$A$56:$K$345,11,0)&amp;""</f>
        <v>FALSCH</v>
      </c>
      <c r="N41" s="315">
        <f>IF($J41='Auto Responses'!$J$11,1,IF(AND($J41="",$I41='Auto Responses'!$J$11),1,0))</f>
        <v>0</v>
      </c>
      <c r="O41" s="284">
        <f>IF(OR($F$18='Auto Responses'!$J$4,$E41='Auto Responses'!$L$13,$F41='Auto Responses'!$J$5),'Auto Responses'!$J$5,IF($J41="",$K41,IF($J41='Auto Responses'!$J$13,5,IF($J41='Auto Responses'!$J$12,10,IF($J41='Auto Responses'!$J$11,20,0)))))</f>
        <v>10</v>
      </c>
      <c r="P41" s="284">
        <f>IF(OR($O41='Auto Responses'!$J$5,$L41='Auto Responses'!$J$5),'Auto Responses'!$J$5,$O41*$L41)</f>
        <v>10</v>
      </c>
      <c r="Q41" s="284">
        <f t="shared" si="1"/>
        <v>0</v>
      </c>
      <c r="R41" s="284">
        <f t="shared" si="5"/>
        <v>0</v>
      </c>
      <c r="S41" s="284">
        <f t="shared" si="2"/>
        <v>0</v>
      </c>
      <c r="T41" s="284">
        <f t="shared" si="3"/>
        <v>0</v>
      </c>
      <c r="U41" s="284">
        <f t="shared" si="6"/>
        <v>6</v>
      </c>
      <c r="V41" s="284">
        <f t="shared" si="4"/>
        <v>0</v>
      </c>
    </row>
    <row r="42" spans="1:22" ht="55.5" customHeight="1" x14ac:dyDescent="0.2">
      <c r="A42" s="315" t="str">
        <f>Questions!$A42</f>
        <v>ITAC-11</v>
      </c>
      <c r="B42" s="315" t="str">
        <f t="shared" si="0"/>
        <v>ITAC</v>
      </c>
      <c r="C42" s="315" t="str">
        <f>VLOOKUP($A42,Questions!$A$3:$L$333,2,0)&amp;""</f>
        <v>Has a third-party expert conducted an audit of the most recent version of your solution?</v>
      </c>
      <c r="D42" s="315"/>
      <c r="E42" s="315" t="str">
        <f>VLOOKUP($A42,Questions!$A$3:$L$333,12,0)&amp;""</f>
        <v>IT Accessibility</v>
      </c>
      <c r="F42" s="315" t="str">
        <f>VLOOKUP($A42,'Institution Evaluation'!$A$56:$K$345,3,0)&amp;""</f>
        <v>No</v>
      </c>
      <c r="G42" s="315" t="str">
        <f>VLOOKUP($A42,'Institution Evaluation'!$A$56:$K$345,7,0)&amp;""</f>
        <v>Yes</v>
      </c>
      <c r="H42" s="315" t="str">
        <f>VLOOKUP($A42,'Institution Evaluation'!$A$56:$K$345,8,0)&amp;""</f>
        <v/>
      </c>
      <c r="I42" s="315" t="str">
        <f>VLOOKUP($A42,'Institution Evaluation'!$A$56:$K$345,9,0)&amp;""</f>
        <v>Standard Importance</v>
      </c>
      <c r="J42" s="315" t="str">
        <f>VLOOKUP($A42,'Institution Evaluation'!$A$56:$K$345,10,0)&amp;""</f>
        <v/>
      </c>
      <c r="K42" s="315">
        <f>IF($I42='Auto Responses'!$J$11,20,IF($I42='Auto Responses'!$J$13,5,10))</f>
        <v>10</v>
      </c>
      <c r="L42" s="284">
        <f>IF($E42='Auto Responses'!$L$13, 'Auto Responses'!$J$5,IF(AND($D42='Auto Responses'!$J$27,$H42=""),'Auto Responses'!$J$5,IF(AND($D42='Auto Responses'!$J$27,$H42='Auto Responses'!$J$7),1,IF(AND($D42='Auto Responses'!$J$27,$H42='Auto Responses'!$J$8),0,IF(OR(AND($F42=$G42,$H42=""),$H42='Auto Responses'!$J$7),1,0)))))</f>
        <v>0</v>
      </c>
      <c r="M42" s="315" t="str">
        <f>VLOOKUP($A42,'Institution Evaluation'!$A$56:$K$345,11,0)&amp;""</f>
        <v>FALSCH</v>
      </c>
      <c r="N42" s="315">
        <f>IF($J42='Auto Responses'!$J$11,1,IF(AND($J42="",$I42='Auto Responses'!$J$11),1,0))</f>
        <v>0</v>
      </c>
      <c r="O42" s="284">
        <f>IF(OR($F$18='Auto Responses'!$J$4,$E42='Auto Responses'!$L$13,$F42='Auto Responses'!$J$5),'Auto Responses'!$J$5,IF($J42="",$K42,IF($J42='Auto Responses'!$J$13,5,IF($J42='Auto Responses'!$J$12,10,IF($J42='Auto Responses'!$J$11,20,0)))))</f>
        <v>10</v>
      </c>
      <c r="P42" s="284">
        <f>IF(OR($O42='Auto Responses'!$J$5,$L42='Auto Responses'!$J$5),'Auto Responses'!$J$5,$O42*$L42)</f>
        <v>0</v>
      </c>
      <c r="Q42" s="284">
        <f t="shared" si="1"/>
        <v>0</v>
      </c>
      <c r="R42" s="284">
        <f t="shared" si="5"/>
        <v>0</v>
      </c>
      <c r="S42" s="284">
        <f t="shared" si="2"/>
        <v>0</v>
      </c>
      <c r="T42" s="284">
        <f t="shared" si="3"/>
        <v>0</v>
      </c>
      <c r="U42" s="284">
        <f t="shared" si="6"/>
        <v>6</v>
      </c>
      <c r="V42" s="284">
        <f t="shared" si="4"/>
        <v>0</v>
      </c>
    </row>
    <row r="43" spans="1:22" ht="55.5" customHeight="1" x14ac:dyDescent="0.2">
      <c r="A43" s="315" t="str">
        <f>Questions!$A43</f>
        <v>ITAC-12</v>
      </c>
      <c r="B43" s="315" t="str">
        <f t="shared" si="0"/>
        <v>ITAC</v>
      </c>
      <c r="C43" s="315" t="str">
        <f>VLOOKUP($A43,Questions!$A$3:$L$333,2,0)&amp;""</f>
        <v>Do you have a documented and implemented process for verifying accessibility conformance?</v>
      </c>
      <c r="D43" s="315" t="str">
        <f>VLOOKUP($A43,Questions!$A$3:$L$333,11,0)&amp;""</f>
        <v/>
      </c>
      <c r="E43" s="315" t="str">
        <f>VLOOKUP($A43,Questions!$A$3:$L$333,12,0)&amp;""</f>
        <v>IT Accessibility</v>
      </c>
      <c r="F43" s="315" t="str">
        <f>VLOOKUP($A43,'Institution Evaluation'!$A$56:$K$345,3,0)&amp;""</f>
        <v>Yes</v>
      </c>
      <c r="G43" s="315" t="str">
        <f>VLOOKUP($A43,'Institution Evaluation'!$A$56:$K$345,7,0)&amp;""</f>
        <v>Yes</v>
      </c>
      <c r="H43" s="315" t="str">
        <f>VLOOKUP($A43,'Institution Evaluation'!$A$56:$K$345,8,0)&amp;""</f>
        <v/>
      </c>
      <c r="I43" s="315" t="str">
        <f>VLOOKUP($A43,'Institution Evaluation'!$A$56:$K$345,9,0)&amp;""</f>
        <v>Standard Importance</v>
      </c>
      <c r="J43" s="315" t="str">
        <f>VLOOKUP($A43,'Institution Evaluation'!$A$56:$K$345,10,0)&amp;""</f>
        <v/>
      </c>
      <c r="K43" s="315">
        <f>IF($I43='Auto Responses'!$J$11,20,IF($I43='Auto Responses'!$J$13,5,10))</f>
        <v>10</v>
      </c>
      <c r="L43" s="284">
        <f>IF($E43='Auto Responses'!$L$13, 'Auto Responses'!$J$5,IF(AND($D43='Auto Responses'!$J$27,$H43=""),'Auto Responses'!$J$5,IF(AND($D43='Auto Responses'!$J$27,$H43='Auto Responses'!$J$7),1,IF(AND($D43='Auto Responses'!$J$27,$H43='Auto Responses'!$J$8),0,IF(OR(AND($F43=$G43,$H43=""),$H43='Auto Responses'!$J$7),1,0)))))</f>
        <v>1</v>
      </c>
      <c r="M43" s="315" t="str">
        <f>VLOOKUP($A43,'Institution Evaluation'!$A$56:$K$345,11,0)&amp;""</f>
        <v>FALSCH</v>
      </c>
      <c r="N43" s="315">
        <f>IF($J43='Auto Responses'!$J$11,1,IF(AND($J43="",$I43='Auto Responses'!$J$11),1,0))</f>
        <v>0</v>
      </c>
      <c r="O43" s="284">
        <f>IF(OR($F$18='Auto Responses'!$J$4,$E43='Auto Responses'!$L$13,$F43='Auto Responses'!$J$5),'Auto Responses'!$J$5,IF($J43="",$K43,IF($J43='Auto Responses'!$J$13,5,IF($J43='Auto Responses'!$J$12,10,IF($J43='Auto Responses'!$J$11,20,0)))))</f>
        <v>10</v>
      </c>
      <c r="P43" s="284">
        <f>IF(OR($O43='Auto Responses'!$J$5,$L43='Auto Responses'!$J$5),'Auto Responses'!$J$5,$O43*$L43)</f>
        <v>10</v>
      </c>
      <c r="Q43" s="284">
        <f t="shared" si="1"/>
        <v>0</v>
      </c>
      <c r="R43" s="284">
        <f t="shared" si="5"/>
        <v>0</v>
      </c>
      <c r="S43" s="284">
        <f t="shared" si="2"/>
        <v>0</v>
      </c>
      <c r="T43" s="284">
        <f t="shared" si="3"/>
        <v>0</v>
      </c>
      <c r="U43" s="284">
        <f t="shared" si="6"/>
        <v>6</v>
      </c>
      <c r="V43" s="284">
        <f t="shared" si="4"/>
        <v>0</v>
      </c>
    </row>
    <row r="44" spans="1:22" ht="55.5" customHeight="1" x14ac:dyDescent="0.2">
      <c r="A44" s="315" t="str">
        <f>Questions!$A44</f>
        <v>ITAC-13</v>
      </c>
      <c r="B44" s="315" t="str">
        <f t="shared" si="0"/>
        <v>ITAC</v>
      </c>
      <c r="C44" s="315" t="str">
        <f>VLOOKUP($A44,Questions!$A$3:$L$333,2,0)&amp;""</f>
        <v>Have you adopted a technical or legal standard of conformance for the solution?</v>
      </c>
      <c r="D44" s="315" t="str">
        <f>VLOOKUP($A44,Questions!$A$3:$L$333,11,0)&amp;""</f>
        <v/>
      </c>
      <c r="E44" s="315" t="str">
        <f>VLOOKUP($A44,Questions!$A$3:$L$333,12,0)&amp;""</f>
        <v>IT Accessibility</v>
      </c>
      <c r="F44" s="315" t="str">
        <f>VLOOKUP($A44,'Institution Evaluation'!$A$56:$K$345,3,0)&amp;""</f>
        <v>No</v>
      </c>
      <c r="G44" s="315" t="str">
        <f>VLOOKUP($A44,'Institution Evaluation'!$A$56:$K$345,7,0)&amp;""</f>
        <v>Yes</v>
      </c>
      <c r="H44" s="315" t="str">
        <f>VLOOKUP($A44,'Institution Evaluation'!$A$56:$K$345,8,0)&amp;""</f>
        <v/>
      </c>
      <c r="I44" s="315" t="str">
        <f>VLOOKUP($A44,'Institution Evaluation'!$A$56:$K$345,9,0)&amp;""</f>
        <v>Standard Importance</v>
      </c>
      <c r="J44" s="315" t="str">
        <f>VLOOKUP($A44,'Institution Evaluation'!$A$56:$K$345,10,0)&amp;""</f>
        <v/>
      </c>
      <c r="K44" s="315">
        <f>IF($I44='Auto Responses'!$J$11,20,IF($I44='Auto Responses'!$J$13,5,10))</f>
        <v>10</v>
      </c>
      <c r="L44" s="284">
        <f>IF($E44='Auto Responses'!$L$13, 'Auto Responses'!$J$5,IF(AND($D44='Auto Responses'!$J$27,$H44=""),'Auto Responses'!$J$5,IF(AND($D44='Auto Responses'!$J$27,$H44='Auto Responses'!$J$7),1,IF(AND($D44='Auto Responses'!$J$27,$H44='Auto Responses'!$J$8),0,IF(OR(AND($F44=$G44,$H44=""),$H44='Auto Responses'!$J$7),1,0)))))</f>
        <v>0</v>
      </c>
      <c r="M44" s="315" t="str">
        <f>VLOOKUP($A44,'Institution Evaluation'!$A$56:$K$345,11,0)&amp;""</f>
        <v>FALSCH</v>
      </c>
      <c r="N44" s="315">
        <f>IF($J44='Auto Responses'!$J$11,1,IF(AND($J44="",$I44='Auto Responses'!$J$11),1,0))</f>
        <v>0</v>
      </c>
      <c r="O44" s="284">
        <f>IF(OR($F$18='Auto Responses'!$J$4,$E44='Auto Responses'!$L$13,$F44='Auto Responses'!$J$5),'Auto Responses'!$J$5,IF($J44="",$K44,IF($J44='Auto Responses'!$J$13,5,IF($J44='Auto Responses'!$J$12,10,IF($J44='Auto Responses'!$J$11,20,0)))))</f>
        <v>10</v>
      </c>
      <c r="P44" s="284">
        <f>IF(OR($O44='Auto Responses'!$J$5,$L44='Auto Responses'!$J$5),'Auto Responses'!$J$5,$O44*$L44)</f>
        <v>0</v>
      </c>
      <c r="Q44" s="284">
        <f t="shared" si="1"/>
        <v>0</v>
      </c>
      <c r="R44" s="284">
        <f t="shared" si="5"/>
        <v>0</v>
      </c>
      <c r="S44" s="284">
        <f t="shared" si="2"/>
        <v>0</v>
      </c>
      <c r="T44" s="284">
        <f t="shared" si="3"/>
        <v>0</v>
      </c>
      <c r="U44" s="284">
        <f t="shared" si="6"/>
        <v>6</v>
      </c>
      <c r="V44" s="284">
        <f t="shared" si="4"/>
        <v>0</v>
      </c>
    </row>
    <row r="45" spans="1:22" ht="55.5" customHeight="1" x14ac:dyDescent="0.2">
      <c r="A45" s="315" t="str">
        <f>Questions!$A45</f>
        <v>ITAC-14</v>
      </c>
      <c r="B45" s="315" t="str">
        <f t="shared" si="0"/>
        <v>ITAC</v>
      </c>
      <c r="C45" s="315" t="str">
        <f>VLOOKUP($A45,Questions!$A$3:$L$333,2,0)&amp;""</f>
        <v>Can you provide a current, detailed accessibility roadmap with delivery timelines?</v>
      </c>
      <c r="D45" s="315" t="str">
        <f>VLOOKUP($A45,Questions!$A$3:$L$333,11,0)&amp;""</f>
        <v/>
      </c>
      <c r="E45" s="315" t="str">
        <f>VLOOKUP($A45,Questions!$A$3:$L$333,12,0)&amp;""</f>
        <v>IT Accessibility</v>
      </c>
      <c r="F45" s="315" t="str">
        <f>VLOOKUP($A45,'Institution Evaluation'!$A$56:$K$345,3,0)&amp;""</f>
        <v>No</v>
      </c>
      <c r="G45" s="315" t="str">
        <f>VLOOKUP($A45,'Institution Evaluation'!$A$56:$K$345,7,0)&amp;""</f>
        <v>Yes</v>
      </c>
      <c r="H45" s="315" t="str">
        <f>VLOOKUP($A45,'Institution Evaluation'!$A$56:$K$345,8,0)&amp;""</f>
        <v/>
      </c>
      <c r="I45" s="315" t="str">
        <f>VLOOKUP($A45,'Institution Evaluation'!$A$56:$K$345,9,0)&amp;""</f>
        <v>Standard Importance</v>
      </c>
      <c r="J45" s="315" t="str">
        <f>VLOOKUP($A45,'Institution Evaluation'!$A$56:$K$345,10,0)&amp;""</f>
        <v/>
      </c>
      <c r="K45" s="315">
        <f>IF($I45='Auto Responses'!$J$11,20,IF($I45='Auto Responses'!$J$13,5,10))</f>
        <v>10</v>
      </c>
      <c r="L45" s="284">
        <f>IF($E45='Auto Responses'!$L$13, 'Auto Responses'!$J$5,IF(AND($D45='Auto Responses'!$J$27,$H45=""),'Auto Responses'!$J$5,IF(AND($D45='Auto Responses'!$J$27,$H45='Auto Responses'!$J$7),1,IF(AND($D45='Auto Responses'!$J$27,$H45='Auto Responses'!$J$8),0,IF(OR(AND($F45=$G45,$H45=""),$H45='Auto Responses'!$J$7),1,0)))))</f>
        <v>0</v>
      </c>
      <c r="M45" s="315" t="str">
        <f>VLOOKUP($A45,'Institution Evaluation'!$A$56:$K$345,11,0)&amp;""</f>
        <v>FALSCH</v>
      </c>
      <c r="N45" s="315">
        <f>IF($J45='Auto Responses'!$J$11,1,IF(AND($J45="",$I45='Auto Responses'!$J$11),1,0))</f>
        <v>0</v>
      </c>
      <c r="O45" s="284">
        <f>IF(OR($F$18='Auto Responses'!$J$4,$E45='Auto Responses'!$L$13,$F45='Auto Responses'!$J$5),'Auto Responses'!$J$5,IF($J45="",$K45,IF($J45='Auto Responses'!$J$13,5,IF($J45='Auto Responses'!$J$12,10,IF($J45='Auto Responses'!$J$11,20,0)))))</f>
        <v>10</v>
      </c>
      <c r="P45" s="284">
        <f>IF(OR($O45='Auto Responses'!$J$5,$L45='Auto Responses'!$J$5),'Auto Responses'!$J$5,$O45*$L45)</f>
        <v>0</v>
      </c>
      <c r="Q45" s="284">
        <f t="shared" si="1"/>
        <v>0</v>
      </c>
      <c r="R45" s="284">
        <f t="shared" si="5"/>
        <v>0</v>
      </c>
      <c r="S45" s="284">
        <f t="shared" si="2"/>
        <v>0</v>
      </c>
      <c r="T45" s="284">
        <f t="shared" si="3"/>
        <v>0</v>
      </c>
      <c r="U45" s="284">
        <f t="shared" si="6"/>
        <v>6</v>
      </c>
      <c r="V45" s="284">
        <f t="shared" si="4"/>
        <v>0</v>
      </c>
    </row>
    <row r="46" spans="1:22" ht="55.5" customHeight="1" x14ac:dyDescent="0.2">
      <c r="A46" s="315" t="str">
        <f>Questions!$A46</f>
        <v>ITAC-15</v>
      </c>
      <c r="B46" s="315" t="str">
        <f t="shared" si="0"/>
        <v>ITAC</v>
      </c>
      <c r="C46" s="315" t="str">
        <f>VLOOKUP($A46,Questions!$A$3:$L$333,2,0)&amp;""</f>
        <v>Do you expect your staff to maintain a current skill set in IT accessibility?</v>
      </c>
      <c r="D46" s="315" t="str">
        <f>VLOOKUP($A46,Questions!$A$3:$L$333,11,0)&amp;""</f>
        <v/>
      </c>
      <c r="E46" s="315" t="str">
        <f>VLOOKUP($A46,Questions!$A$3:$L$333,12,0)&amp;""</f>
        <v>IT Accessibility</v>
      </c>
      <c r="F46" s="315" t="str">
        <f>VLOOKUP($A46,'Institution Evaluation'!$A$56:$K$345,3,0)&amp;""</f>
        <v>Yes</v>
      </c>
      <c r="G46" s="315" t="str">
        <f>VLOOKUP($A46,'Institution Evaluation'!$A$56:$K$345,7,0)&amp;""</f>
        <v>Yes</v>
      </c>
      <c r="H46" s="315" t="str">
        <f>VLOOKUP($A46,'Institution Evaluation'!$A$56:$K$345,8,0)&amp;""</f>
        <v/>
      </c>
      <c r="I46" s="315" t="str">
        <f>VLOOKUP($A46,'Institution Evaluation'!$A$56:$K$345,9,0)&amp;""</f>
        <v>Standard Importance</v>
      </c>
      <c r="J46" s="315" t="str">
        <f>VLOOKUP($A46,'Institution Evaluation'!$A$56:$K$345,10,0)&amp;""</f>
        <v/>
      </c>
      <c r="K46" s="315">
        <f>IF($I46='Auto Responses'!$J$11,20,IF($I46='Auto Responses'!$J$13,5,10))</f>
        <v>10</v>
      </c>
      <c r="L46" s="284">
        <f>IF($E46='Auto Responses'!$L$13, 'Auto Responses'!$J$5,IF(AND($D46='Auto Responses'!$J$27,$H46=""),'Auto Responses'!$J$5,IF(AND($D46='Auto Responses'!$J$27,$H46='Auto Responses'!$J$7),1,IF(AND($D46='Auto Responses'!$J$27,$H46='Auto Responses'!$J$8),0,IF(OR(AND($F46=$G46,$H46=""),$H46='Auto Responses'!$J$7),1,0)))))</f>
        <v>1</v>
      </c>
      <c r="M46" s="315" t="str">
        <f>VLOOKUP($A46,'Institution Evaluation'!$A$56:$K$345,11,0)&amp;""</f>
        <v>FALSCH</v>
      </c>
      <c r="N46" s="315">
        <f>IF($J46='Auto Responses'!$J$11,1,IF(AND($J46="",$I46='Auto Responses'!$J$11),1,0))</f>
        <v>0</v>
      </c>
      <c r="O46" s="284">
        <f>IF(OR($F$18='Auto Responses'!$J$4,$E46='Auto Responses'!$L$13,$F46='Auto Responses'!$J$5),'Auto Responses'!$J$5,IF($J46="",$K46,IF($J46='Auto Responses'!$J$13,5,IF($J46='Auto Responses'!$J$12,10,IF($J46='Auto Responses'!$J$11,20,0)))))</f>
        <v>10</v>
      </c>
      <c r="P46" s="284">
        <f>IF(OR($O46='Auto Responses'!$J$5,$L46='Auto Responses'!$J$5),'Auto Responses'!$J$5,$O46*$L46)</f>
        <v>10</v>
      </c>
      <c r="Q46" s="284">
        <f t="shared" si="1"/>
        <v>0</v>
      </c>
      <c r="R46" s="284">
        <f t="shared" si="5"/>
        <v>0</v>
      </c>
      <c r="S46" s="284">
        <f t="shared" si="2"/>
        <v>0</v>
      </c>
      <c r="T46" s="284">
        <f t="shared" si="3"/>
        <v>0</v>
      </c>
      <c r="U46" s="284">
        <f t="shared" si="6"/>
        <v>6</v>
      </c>
      <c r="V46" s="284">
        <f t="shared" si="4"/>
        <v>0</v>
      </c>
    </row>
    <row r="47" spans="1:22" ht="55.5" customHeight="1" x14ac:dyDescent="0.2">
      <c r="A47" s="315" t="str">
        <f>Questions!$A47</f>
        <v>ITAC-16</v>
      </c>
      <c r="B47" s="315" t="str">
        <f t="shared" si="0"/>
        <v>ITAC</v>
      </c>
      <c r="C47" s="315" t="str">
        <f>VLOOKUP($A47,Questions!$A$3:$L$333,2,0)&amp;""</f>
        <v>Do you have documented processes and procedures for implementing accessibility into your development lifecycle?</v>
      </c>
      <c r="D47" s="315" t="str">
        <f>VLOOKUP($A47,Questions!$A$3:$L$333,11,0)&amp;""</f>
        <v/>
      </c>
      <c r="E47" s="315" t="str">
        <f>VLOOKUP($A47,Questions!$A$3:$L$333,12,0)&amp;""</f>
        <v>IT Accessibility</v>
      </c>
      <c r="F47" s="315" t="str">
        <f>VLOOKUP($A47,'Institution Evaluation'!$A$56:$K$345,3,0)&amp;""</f>
        <v>No</v>
      </c>
      <c r="G47" s="315" t="str">
        <f>VLOOKUP($A47,'Institution Evaluation'!$A$56:$K$345,7,0)&amp;""</f>
        <v>Yes</v>
      </c>
      <c r="H47" s="315" t="str">
        <f>VLOOKUP($A47,'Institution Evaluation'!$A$56:$K$345,8,0)&amp;""</f>
        <v/>
      </c>
      <c r="I47" s="315" t="str">
        <f>VLOOKUP($A47,'Institution Evaluation'!$A$56:$K$345,9,0)&amp;""</f>
        <v>Standard Importance</v>
      </c>
      <c r="J47" s="315" t="str">
        <f>VLOOKUP($A47,'Institution Evaluation'!$A$56:$K$345,10,0)&amp;""</f>
        <v/>
      </c>
      <c r="K47" s="315">
        <f>IF($I47='Auto Responses'!$J$11,20,IF($I47='Auto Responses'!$J$13,5,10))</f>
        <v>10</v>
      </c>
      <c r="L47" s="284">
        <f>IF($E47='Auto Responses'!$L$13, 'Auto Responses'!$J$5,IF(AND($D47='Auto Responses'!$J$27,$H47=""),'Auto Responses'!$J$5,IF(AND($D47='Auto Responses'!$J$27,$H47='Auto Responses'!$J$7),1,IF(AND($D47='Auto Responses'!$J$27,$H47='Auto Responses'!$J$8),0,IF(OR(AND($F47=$G47,$H47=""),$H47='Auto Responses'!$J$7),1,0)))))</f>
        <v>0</v>
      </c>
      <c r="M47" s="315" t="str">
        <f>VLOOKUP($A47,'Institution Evaluation'!$A$56:$K$345,11,0)&amp;""</f>
        <v>FALSCH</v>
      </c>
      <c r="N47" s="315">
        <f>IF($J47='Auto Responses'!$J$11,1,IF(AND($J47="",$I47='Auto Responses'!$J$11),1,0))</f>
        <v>0</v>
      </c>
      <c r="O47" s="284">
        <f>IF(OR($F$18='Auto Responses'!$J$4,$E47='Auto Responses'!$L$13,$F47='Auto Responses'!$J$5),'Auto Responses'!$J$5,IF($J47="",$K47,IF($J47='Auto Responses'!$J$13,5,IF($J47='Auto Responses'!$J$12,10,IF($J47='Auto Responses'!$J$11,20,0)))))</f>
        <v>10</v>
      </c>
      <c r="P47" s="284">
        <f>IF(OR($O47='Auto Responses'!$J$5,$L47='Auto Responses'!$J$5),'Auto Responses'!$J$5,$O47*$L47)</f>
        <v>0</v>
      </c>
      <c r="Q47" s="284">
        <f t="shared" si="1"/>
        <v>0</v>
      </c>
      <c r="R47" s="284">
        <f t="shared" si="5"/>
        <v>0</v>
      </c>
      <c r="S47" s="284">
        <f t="shared" si="2"/>
        <v>0</v>
      </c>
      <c r="T47" s="284">
        <f t="shared" si="3"/>
        <v>0</v>
      </c>
      <c r="U47" s="284">
        <f t="shared" si="6"/>
        <v>6</v>
      </c>
      <c r="V47" s="284">
        <f t="shared" si="4"/>
        <v>0</v>
      </c>
    </row>
    <row r="48" spans="1:22" ht="55.5" customHeight="1" x14ac:dyDescent="0.2">
      <c r="A48" s="315" t="str">
        <f>Questions!$A48</f>
        <v>ITAC-17</v>
      </c>
      <c r="B48" s="315" t="str">
        <f t="shared" si="0"/>
        <v>ITAC</v>
      </c>
      <c r="C48" s="315" t="str">
        <f>VLOOKUP($A48,Questions!$A$3:$L$333,2,0)&amp;""</f>
        <v>Can all functions of the application or service be performed using only the keyboard?</v>
      </c>
      <c r="D48" s="315" t="str">
        <f>VLOOKUP($A48,Questions!$A$3:$L$333,11,0)&amp;""</f>
        <v/>
      </c>
      <c r="E48" s="315" t="str">
        <f>VLOOKUP($A48,Questions!$A$3:$L$333,12,0)&amp;""</f>
        <v>IT Accessibility</v>
      </c>
      <c r="F48" s="315" t="str">
        <f>VLOOKUP($A48,'Institution Evaluation'!$A$56:$K$345,3,0)&amp;""</f>
        <v>No</v>
      </c>
      <c r="G48" s="315" t="str">
        <f>VLOOKUP($A48,'Institution Evaluation'!$A$56:$K$345,7,0)&amp;""</f>
        <v>Yes</v>
      </c>
      <c r="H48" s="315" t="str">
        <f>VLOOKUP($A48,'Institution Evaluation'!$A$56:$K$345,8,0)&amp;""</f>
        <v/>
      </c>
      <c r="I48" s="315" t="str">
        <f>VLOOKUP($A48,'Institution Evaluation'!$A$56:$K$345,9,0)&amp;""</f>
        <v>Standard Importance</v>
      </c>
      <c r="J48" s="315" t="str">
        <f>VLOOKUP($A48,'Institution Evaluation'!$A$56:$K$345,10,0)&amp;""</f>
        <v/>
      </c>
      <c r="K48" s="315">
        <f>IF($I48='Auto Responses'!$J$11,20,IF($I48='Auto Responses'!$J$13,5,10))</f>
        <v>10</v>
      </c>
      <c r="L48" s="284">
        <f>IF($E48='Auto Responses'!$L$13, 'Auto Responses'!$J$5,IF(AND($D48='Auto Responses'!$J$27,$H48=""),'Auto Responses'!$J$5,IF(AND($D48='Auto Responses'!$J$27,$H48='Auto Responses'!$J$7),1,IF(AND($D48='Auto Responses'!$J$27,$H48='Auto Responses'!$J$8),0,IF(OR(AND($F48=$G48,$H48=""),$H48='Auto Responses'!$J$7),1,0)))))</f>
        <v>0</v>
      </c>
      <c r="M48" s="315" t="str">
        <f>VLOOKUP($A48,'Institution Evaluation'!$A$56:$K$345,11,0)&amp;""</f>
        <v>FALSCH</v>
      </c>
      <c r="N48" s="315">
        <f>IF($J48='Auto Responses'!$J$11,1,IF(AND($J48="",$I48='Auto Responses'!$J$11),1,0))</f>
        <v>0</v>
      </c>
      <c r="O48" s="284">
        <f>IF(OR($F$18='Auto Responses'!$J$4,$E48='Auto Responses'!$L$13,$F48='Auto Responses'!$J$5),'Auto Responses'!$J$5,IF($J48="",$K48,IF($J48='Auto Responses'!$J$13,5,IF($J48='Auto Responses'!$J$12,10,IF($J48='Auto Responses'!$J$11,20,0)))))</f>
        <v>10</v>
      </c>
      <c r="P48" s="284">
        <f>IF(OR($O48='Auto Responses'!$J$5,$L48='Auto Responses'!$J$5),'Auto Responses'!$J$5,$O48*$L48)</f>
        <v>0</v>
      </c>
      <c r="Q48" s="284">
        <f t="shared" si="1"/>
        <v>0</v>
      </c>
      <c r="R48" s="284">
        <f t="shared" si="5"/>
        <v>0</v>
      </c>
      <c r="S48" s="284">
        <f t="shared" si="2"/>
        <v>0</v>
      </c>
      <c r="T48" s="284">
        <f t="shared" si="3"/>
        <v>0</v>
      </c>
      <c r="U48" s="284">
        <f t="shared" si="6"/>
        <v>6</v>
      </c>
      <c r="V48" s="284">
        <f t="shared" si="4"/>
        <v>0</v>
      </c>
    </row>
    <row r="49" spans="1:22" ht="55.5" customHeight="1" x14ac:dyDescent="0.2">
      <c r="A49" s="315" t="str">
        <f>Questions!$A49</f>
        <v>ITAC-18</v>
      </c>
      <c r="B49" s="315" t="str">
        <f t="shared" si="0"/>
        <v>ITAC</v>
      </c>
      <c r="C49" s="315" t="str">
        <f>VLOOKUP($A49,Questions!$A$3:$L$333,2,0)&amp;""</f>
        <v>Does your product rely on activating a special "accessibility mode," a "lite version," or using an alternate interface (including “overlay” or AI-based alternates)  for accessibility purposes?</v>
      </c>
      <c r="D49" s="315" t="str">
        <f>VLOOKUP($A49,Questions!$A$3:$L$333,11,0)&amp;""</f>
        <v/>
      </c>
      <c r="E49" s="315" t="str">
        <f>VLOOKUP($A49,Questions!$A$3:$L$333,12,0)&amp;""</f>
        <v>IT Accessibility</v>
      </c>
      <c r="F49" s="315" t="str">
        <f>VLOOKUP($A49,'Institution Evaluation'!$A$56:$K$345,3,0)&amp;""</f>
        <v>No</v>
      </c>
      <c r="G49" s="315" t="str">
        <f>VLOOKUP($A49,'Institution Evaluation'!$A$56:$K$345,7,0)&amp;""</f>
        <v>No</v>
      </c>
      <c r="H49" s="315" t="str">
        <f>VLOOKUP($A49,'Institution Evaluation'!$A$56:$K$345,8,0)&amp;""</f>
        <v/>
      </c>
      <c r="I49" s="315" t="str">
        <f>VLOOKUP($A49,'Institution Evaluation'!$A$56:$K$345,9,0)&amp;""</f>
        <v>Standard Importance</v>
      </c>
      <c r="J49" s="315" t="str">
        <f>VLOOKUP($A49,'Institution Evaluation'!$A$56:$K$345,10,0)&amp;""</f>
        <v/>
      </c>
      <c r="K49" s="315">
        <f>IF($I49='Auto Responses'!$J$11,20,IF($I49='Auto Responses'!$J$13,5,10))</f>
        <v>10</v>
      </c>
      <c r="L49" s="284">
        <f>IF($E49='Auto Responses'!$L$13, 'Auto Responses'!$J$5,IF(AND($D49='Auto Responses'!$J$27,$H49=""),'Auto Responses'!$J$5,IF(AND($D49='Auto Responses'!$J$27,$H49='Auto Responses'!$J$7),1,IF(AND($D49='Auto Responses'!$J$27,$H49='Auto Responses'!$J$8),0,IF(OR(AND($F49=$G49,$H49=""),$H49='Auto Responses'!$J$7),1,0)))))</f>
        <v>1</v>
      </c>
      <c r="M49" s="315" t="str">
        <f>VLOOKUP($A49,'Institution Evaluation'!$A$56:$K$345,11,0)&amp;""</f>
        <v>FALSCH</v>
      </c>
      <c r="N49" s="315">
        <f>IF($J49='Auto Responses'!$J$11,1,IF(AND($J49="",$I49='Auto Responses'!$J$11),1,0))</f>
        <v>0</v>
      </c>
      <c r="O49" s="284">
        <f>IF(OR($F$18='Auto Responses'!$J$4,$E49='Auto Responses'!$L$13,$F49='Auto Responses'!$J$5),'Auto Responses'!$J$5,IF($J49="",$K49,IF($J49='Auto Responses'!$J$13,5,IF($J49='Auto Responses'!$J$12,10,IF($J49='Auto Responses'!$J$11,20,0)))))</f>
        <v>10</v>
      </c>
      <c r="P49" s="284">
        <f>IF(OR($O49='Auto Responses'!$J$5,$L49='Auto Responses'!$J$5),'Auto Responses'!$J$5,$O49*$L49)</f>
        <v>10</v>
      </c>
      <c r="Q49" s="284">
        <f t="shared" si="1"/>
        <v>0</v>
      </c>
      <c r="R49" s="284">
        <f t="shared" si="5"/>
        <v>0</v>
      </c>
      <c r="S49" s="284">
        <f t="shared" si="2"/>
        <v>0</v>
      </c>
      <c r="T49" s="284">
        <f t="shared" si="3"/>
        <v>0</v>
      </c>
      <c r="U49" s="284">
        <f t="shared" si="6"/>
        <v>6</v>
      </c>
      <c r="V49" s="284">
        <f t="shared" si="4"/>
        <v>0</v>
      </c>
    </row>
    <row r="50" spans="1:22" ht="55.5" customHeight="1" x14ac:dyDescent="0.2">
      <c r="A50" s="315" t="str">
        <f>Questions!$A51</f>
        <v>THRD-02</v>
      </c>
      <c r="B50" s="315" t="str">
        <f t="shared" si="0"/>
        <v>THRD</v>
      </c>
      <c r="C50" s="315" t="str">
        <f>VLOOKUP($A50,Questions!$A$3:$L$333,2,0)&amp;""</f>
        <v>Do you have contractual language in place with third parties governing access to institutional data?*</v>
      </c>
      <c r="D50" s="315" t="str">
        <f>VLOOKUP($A50,Questions!$A$3:$L$333,11,0)&amp;""</f>
        <v/>
      </c>
      <c r="E50" s="315" t="str">
        <f>VLOOKUP($A50,Questions!$A$3:$L$333,12,0)&amp;""</f>
        <v>Organization</v>
      </c>
      <c r="F50" s="315" t="str">
        <f>VLOOKUP($A50,'Institution Evaluation'!$A$56:$K$345,3,0)&amp;""</f>
        <v>Yes</v>
      </c>
      <c r="G50" s="315" t="str">
        <f>VLOOKUP($A50,'Institution Evaluation'!$A$56:$K$345,7,0)&amp;""</f>
        <v>Yes</v>
      </c>
      <c r="H50" s="315" t="str">
        <f>VLOOKUP($A50,'Institution Evaluation'!$A$56:$K$345,8,0)&amp;""</f>
        <v/>
      </c>
      <c r="I50" s="315" t="str">
        <f>VLOOKUP($A50,'Institution Evaluation'!$A$56:$K$345,9,0)&amp;""</f>
        <v>Critical Importance</v>
      </c>
      <c r="J50" s="315" t="str">
        <f>VLOOKUP($A50,'Institution Evaluation'!$A$56:$K$345,10,0)&amp;""</f>
        <v/>
      </c>
      <c r="K50" s="315">
        <f>IF($I50='Auto Responses'!$J$11,20,IF($I50='Auto Responses'!$J$13,5,10))</f>
        <v>20</v>
      </c>
      <c r="L50" s="284">
        <f>IF($E50='Auto Responses'!$L$13, 'Auto Responses'!$J$5,IF(AND($D50='Auto Responses'!$J$27,$H50=""),'Auto Responses'!$J$5,IF(AND($D50='Auto Responses'!$J$27,$H50='Auto Responses'!$J$7),1,IF(AND($D50='Auto Responses'!$J$27,$H50='Auto Responses'!$J$8),0,IF(OR(AND($F50=$G50,$H50=""),$H50='Auto Responses'!$J$7),1,0)))))</f>
        <v>1</v>
      </c>
      <c r="M50" s="315" t="str">
        <f>VLOOKUP($A50,'Institution Evaluation'!$A$56:$K$345,11,0)&amp;""</f>
        <v>FALSCH</v>
      </c>
      <c r="N50" s="315">
        <f>IF($J50='Auto Responses'!$J$11,1,IF(AND($J50="",$I50='Auto Responses'!$J$11),1,0))</f>
        <v>1</v>
      </c>
      <c r="O50" s="284">
        <f>IF(OR($E50='Auto Responses'!$L$13,$F50='Auto Responses'!$J$5),'Auto Responses'!$J$5,IF($J50="",$K50,IF($J50='Auto Responses'!$J$13,5,IF($J50='Auto Responses'!$J$12,10,IF($J50='Auto Responses'!$J$11,20,0)))))</f>
        <v>20</v>
      </c>
      <c r="P50" s="284">
        <f>IF(OR($O50='Auto Responses'!$J$5,$L50='Auto Responses'!$J$5),'Auto Responses'!$J$5,$O50*$L50)</f>
        <v>20</v>
      </c>
      <c r="Q50" s="284">
        <f t="shared" si="1"/>
        <v>0</v>
      </c>
      <c r="R50" s="284">
        <f t="shared" si="5"/>
        <v>0</v>
      </c>
      <c r="S50" s="284">
        <f t="shared" si="2"/>
        <v>0</v>
      </c>
      <c r="T50" s="284">
        <f t="shared" si="3"/>
        <v>1</v>
      </c>
      <c r="U50" s="284">
        <f t="shared" si="6"/>
        <v>7</v>
      </c>
      <c r="V50" s="284">
        <f t="shared" si="4"/>
        <v>7</v>
      </c>
    </row>
    <row r="51" spans="1:22" ht="55.5" customHeight="1" x14ac:dyDescent="0.2">
      <c r="A51" s="315" t="str">
        <f>Questions!$A50</f>
        <v>THRD-01</v>
      </c>
      <c r="B51" s="315" t="str">
        <f t="shared" si="0"/>
        <v>THRD</v>
      </c>
      <c r="C51" s="315" t="str">
        <f>VLOOKUP($A51,Questions!$A$3:$L$333,2,0)&amp;""</f>
        <v>Do you perform security assessments of third-party companies with which you share data (e.g., hosting providers, cloud services, PaaS, IaaS, SaaS)?*</v>
      </c>
      <c r="D51" s="315" t="str">
        <f>VLOOKUP($A51,Questions!$A$3:$L$333,11,0)&amp;""</f>
        <v/>
      </c>
      <c r="E51" s="315" t="str">
        <f>VLOOKUP($A51,Questions!$A$3:$L$333,12,0)&amp;""</f>
        <v>Organization</v>
      </c>
      <c r="F51" s="315" t="str">
        <f>VLOOKUP($A51,'Institution Evaluation'!$A$56:$K$345,3,0)&amp;""</f>
        <v>No</v>
      </c>
      <c r="G51" s="315" t="str">
        <f>VLOOKUP($A51,'Institution Evaluation'!$A$56:$K$345,7,0)&amp;""</f>
        <v>Yes</v>
      </c>
      <c r="H51" s="315" t="str">
        <f>VLOOKUP($A51,'Institution Evaluation'!$A$56:$K$345,8,0)&amp;""</f>
        <v/>
      </c>
      <c r="I51" s="315" t="str">
        <f>VLOOKUP($A51,'Institution Evaluation'!$A$56:$K$345,9,0)&amp;""</f>
        <v>Critical Importance</v>
      </c>
      <c r="J51" s="315" t="str">
        <f>VLOOKUP($A51,'Institution Evaluation'!$A$56:$K$345,10,0)&amp;""</f>
        <v/>
      </c>
      <c r="K51" s="315">
        <f>IF($I51='Auto Responses'!$J$11,20,IF($I51='Auto Responses'!$J$13,5,10))</f>
        <v>20</v>
      </c>
      <c r="L51" s="284">
        <f>IF($E51='Auto Responses'!$L$13, 'Auto Responses'!$J$5,IF(AND($D51='Auto Responses'!$J$27,$H51=""),'Auto Responses'!$J$5,IF(AND($D51='Auto Responses'!$J$27,$H51='Auto Responses'!$J$7),1,IF(AND($D51='Auto Responses'!$J$27,$H51='Auto Responses'!$J$8),0,IF(OR(AND($F51=$G51,$H51=""),$H51='Auto Responses'!$J$7),1,0)))))</f>
        <v>0</v>
      </c>
      <c r="M51" s="315" t="str">
        <f>VLOOKUP($A51,'Institution Evaluation'!$A$56:$K$345,11,0)&amp;""</f>
        <v>FALSCH</v>
      </c>
      <c r="N51" s="315">
        <f>IF($J51='Auto Responses'!$J$11,1,IF(AND($J51="",$I51='Auto Responses'!$J$11),1,0))</f>
        <v>1</v>
      </c>
      <c r="O51" s="284">
        <f>IF(OR($E51='Auto Responses'!$L$13,$F51='Auto Responses'!$J$5),'Auto Responses'!$J$5,IF($J51="",$K51,IF($J51='Auto Responses'!$J$13,5,IF($J51='Auto Responses'!$J$12,10,IF($J51='Auto Responses'!$J$11,20,0)))))</f>
        <v>20</v>
      </c>
      <c r="P51" s="284">
        <f>IF(OR($O51='Auto Responses'!$J$5,$L51='Auto Responses'!$J$5),'Auto Responses'!$J$5,$O51*$L51)</f>
        <v>0</v>
      </c>
      <c r="Q51" s="284">
        <f t="shared" si="1"/>
        <v>0</v>
      </c>
      <c r="R51" s="284">
        <f t="shared" si="5"/>
        <v>0</v>
      </c>
      <c r="S51" s="284">
        <f t="shared" si="2"/>
        <v>0</v>
      </c>
      <c r="T51" s="284">
        <f t="shared" si="3"/>
        <v>1</v>
      </c>
      <c r="U51" s="284">
        <f t="shared" si="6"/>
        <v>8</v>
      </c>
      <c r="V51" s="284">
        <f t="shared" si="4"/>
        <v>8</v>
      </c>
    </row>
    <row r="52" spans="1:22" ht="55.5" customHeight="1" x14ac:dyDescent="0.2">
      <c r="A52" s="315" t="str">
        <f>Questions!$A52</f>
        <v>THRD-03</v>
      </c>
      <c r="B52" s="315" t="str">
        <f t="shared" si="0"/>
        <v>THRD</v>
      </c>
      <c r="C52" s="315" t="str">
        <f>VLOOKUP($A52,Questions!$A$3:$L$333,2,0)&amp;""</f>
        <v>Do the contracts in place with these third parties address liability in the event of a data breach?*</v>
      </c>
      <c r="D52" s="315" t="str">
        <f>VLOOKUP($A52,Questions!$A$3:$L$333,11,0)&amp;""</f>
        <v/>
      </c>
      <c r="E52" s="315" t="str">
        <f>VLOOKUP($A52,Questions!$A$3:$L$333,12,0)&amp;""</f>
        <v>Organization</v>
      </c>
      <c r="F52" s="315" t="str">
        <f>VLOOKUP($A52,'Institution Evaluation'!$A$56:$K$345,3,0)&amp;""</f>
        <v>Yes</v>
      </c>
      <c r="G52" s="315" t="str">
        <f>VLOOKUP($A52,'Institution Evaluation'!$A$56:$K$345,7,0)&amp;""</f>
        <v>Yes</v>
      </c>
      <c r="H52" s="315" t="str">
        <f>VLOOKUP($A52,'Institution Evaluation'!$A$56:$K$345,8,0)&amp;""</f>
        <v/>
      </c>
      <c r="I52" s="315" t="str">
        <f>VLOOKUP($A52,'Institution Evaluation'!$A$56:$K$345,9,0)&amp;""</f>
        <v>Critical Importance</v>
      </c>
      <c r="J52" s="315" t="str">
        <f>VLOOKUP($A52,'Institution Evaluation'!$A$56:$K$345,10,0)&amp;""</f>
        <v/>
      </c>
      <c r="K52" s="315">
        <f>IF($I52='Auto Responses'!$J$11,20,IF($I52='Auto Responses'!$J$13,5,10))</f>
        <v>20</v>
      </c>
      <c r="L52" s="284">
        <f>IF($E52='Auto Responses'!$L$13, 'Auto Responses'!$J$5,IF(AND($D52='Auto Responses'!$J$27,$H52=""),'Auto Responses'!$J$5,IF(AND($D52='Auto Responses'!$J$27,$H52='Auto Responses'!$J$7),1,IF(AND($D52='Auto Responses'!$J$27,$H52='Auto Responses'!$J$8),0,IF(OR(AND($F52=$G52,$H52=""),$H52='Auto Responses'!$J$7),1,0)))))</f>
        <v>1</v>
      </c>
      <c r="M52" s="315" t="str">
        <f>VLOOKUP($A52,'Institution Evaluation'!$A$56:$K$345,11,0)&amp;""</f>
        <v>FALSCH</v>
      </c>
      <c r="N52" s="315">
        <f>IF($J52='Auto Responses'!$J$11,1,IF(AND($J52="",$I52='Auto Responses'!$J$11),1,0))</f>
        <v>1</v>
      </c>
      <c r="O52" s="284">
        <f>IF(OR($E52='Auto Responses'!$L$13,$F52='Auto Responses'!$J$5),'Auto Responses'!$J$5,IF($J52="",$K52,IF($J52='Auto Responses'!$J$13,5,IF($J52='Auto Responses'!$J$12,10,IF($J52='Auto Responses'!$J$11,20,0)))))</f>
        <v>20</v>
      </c>
      <c r="P52" s="284">
        <f>IF(OR($O52='Auto Responses'!$J$5,$L52='Auto Responses'!$J$5),'Auto Responses'!$J$5,$O52*$L52)</f>
        <v>20</v>
      </c>
      <c r="Q52" s="284">
        <f t="shared" si="1"/>
        <v>0</v>
      </c>
      <c r="R52" s="284">
        <f t="shared" si="5"/>
        <v>0</v>
      </c>
      <c r="S52" s="284">
        <f t="shared" si="2"/>
        <v>0</v>
      </c>
      <c r="T52" s="284">
        <f t="shared" si="3"/>
        <v>1</v>
      </c>
      <c r="U52" s="284">
        <f t="shared" si="6"/>
        <v>9</v>
      </c>
      <c r="V52" s="284">
        <f t="shared" si="4"/>
        <v>9</v>
      </c>
    </row>
    <row r="53" spans="1:22" ht="55.5" customHeight="1" x14ac:dyDescent="0.2">
      <c r="A53" s="315" t="str">
        <f>Questions!$A53</f>
        <v>THRD-04</v>
      </c>
      <c r="B53" s="315" t="str">
        <f t="shared" si="0"/>
        <v>THRD</v>
      </c>
      <c r="C53" s="315" t="str">
        <f>VLOOKUP($A53,Questions!$A$3:$L$333,2,0)&amp;""</f>
        <v>Do you have an implemented third-party management strategy?*</v>
      </c>
      <c r="D53" s="315" t="str">
        <f>VLOOKUP($A53,Questions!$A$3:$L$333,11,0)&amp;""</f>
        <v/>
      </c>
      <c r="E53" s="315" t="str">
        <f>VLOOKUP($A53,Questions!$A$3:$L$333,12,0)&amp;""</f>
        <v>Organization</v>
      </c>
      <c r="F53" s="315" t="str">
        <f>VLOOKUP($A53,'Institution Evaluation'!$A$56:$K$345,3,0)&amp;""</f>
        <v>No</v>
      </c>
      <c r="G53" s="315" t="str">
        <f>VLOOKUP($A53,'Institution Evaluation'!$A$56:$K$345,7,0)&amp;""</f>
        <v>Yes</v>
      </c>
      <c r="H53" s="315" t="str">
        <f>VLOOKUP($A53,'Institution Evaluation'!$A$56:$K$345,8,0)&amp;""</f>
        <v/>
      </c>
      <c r="I53" s="315" t="str">
        <f>VLOOKUP($A53,'Institution Evaluation'!$A$56:$K$345,9,0)&amp;""</f>
        <v>Critical Importance</v>
      </c>
      <c r="J53" s="315" t="str">
        <f>VLOOKUP($A53,'Institution Evaluation'!$A$56:$K$345,10,0)&amp;""</f>
        <v/>
      </c>
      <c r="K53" s="315">
        <f>IF($I53='Auto Responses'!$J$11,20,IF($I53='Auto Responses'!$J$13,5,10))</f>
        <v>20</v>
      </c>
      <c r="L53" s="284">
        <f>IF($E53='Auto Responses'!$L$13, 'Auto Responses'!$J$5,IF(AND($D53='Auto Responses'!$J$27,$H53=""),'Auto Responses'!$J$5,IF(AND($D53='Auto Responses'!$J$27,$H53='Auto Responses'!$J$7),1,IF(AND($D53='Auto Responses'!$J$27,$H53='Auto Responses'!$J$8),0,IF(OR(AND($F53=$G53,$H53=""),$H53='Auto Responses'!$J$7),1,0)))))</f>
        <v>0</v>
      </c>
      <c r="M53" s="315" t="str">
        <f>VLOOKUP($A53,'Institution Evaluation'!$A$56:$K$345,11,0)&amp;""</f>
        <v>FALSCH</v>
      </c>
      <c r="N53" s="315">
        <f>IF($J53='Auto Responses'!$J$11,1,IF(AND($J53="",$I53='Auto Responses'!$J$11),1,0))</f>
        <v>1</v>
      </c>
      <c r="O53" s="284">
        <f>IF(OR($E53='Auto Responses'!$L$13,$F53='Auto Responses'!$J$5),'Auto Responses'!$J$5,IF($J53="",$K53,IF($J53='Auto Responses'!$J$13,5,IF($J53='Auto Responses'!$J$12,10,IF($J53='Auto Responses'!$J$11,20,0)))))</f>
        <v>20</v>
      </c>
      <c r="P53" s="284">
        <f>IF(OR($O53='Auto Responses'!$J$5,$L53='Auto Responses'!$J$5),'Auto Responses'!$J$5,$O53*$L53)</f>
        <v>0</v>
      </c>
      <c r="Q53" s="284">
        <f t="shared" si="1"/>
        <v>0</v>
      </c>
      <c r="R53" s="284">
        <f t="shared" si="5"/>
        <v>0</v>
      </c>
      <c r="S53" s="284">
        <f t="shared" si="2"/>
        <v>0</v>
      </c>
      <c r="T53" s="284">
        <f t="shared" si="3"/>
        <v>1</v>
      </c>
      <c r="U53" s="284">
        <f t="shared" si="6"/>
        <v>10</v>
      </c>
      <c r="V53" s="284">
        <f t="shared" si="4"/>
        <v>10</v>
      </c>
    </row>
    <row r="54" spans="1:22" ht="55.5" customHeight="1" x14ac:dyDescent="0.2">
      <c r="A54" s="315" t="str">
        <f>Questions!$A54</f>
        <v>THRD-05</v>
      </c>
      <c r="B54" s="315" t="str">
        <f t="shared" si="0"/>
        <v>THRD</v>
      </c>
      <c r="C54" s="315" t="str">
        <f>VLOOKUP($A54,Questions!$A$3:$L$333,2,0)&amp;""</f>
        <v>Do you have a process and implemented procedures for managing your hardware supply chain (e.g., telecommunications equipment, export licensing, computing devices)?</v>
      </c>
      <c r="D54" s="315" t="str">
        <f>VLOOKUP($A54,Questions!$A$3:$L$333,11,0)&amp;""</f>
        <v/>
      </c>
      <c r="E54" s="315" t="str">
        <f>VLOOKUP($A54,Questions!$A$3:$L$333,12,0)&amp;""</f>
        <v>Organization</v>
      </c>
      <c r="F54" s="315" t="str">
        <f>VLOOKUP($A54,'Institution Evaluation'!$A$56:$K$345,3,0)&amp;""</f>
        <v>No</v>
      </c>
      <c r="G54" s="315" t="str">
        <f>VLOOKUP($A54,'Institution Evaluation'!$A$56:$K$345,7,0)&amp;""</f>
        <v>Yes</v>
      </c>
      <c r="H54" s="315" t="str">
        <f>VLOOKUP($A54,'Institution Evaluation'!$A$56:$K$345,8,0)&amp;""</f>
        <v/>
      </c>
      <c r="I54" s="315" t="str">
        <f>VLOOKUP($A54,'Institution Evaluation'!$A$56:$K$345,9,0)&amp;""</f>
        <v>Standard Importance</v>
      </c>
      <c r="J54" s="315" t="str">
        <f>VLOOKUP($A54,'Institution Evaluation'!$A$56:$K$345,10,0)&amp;""</f>
        <v/>
      </c>
      <c r="K54" s="315">
        <f>IF($I54='Auto Responses'!$J$11,20,IF($I54='Auto Responses'!$J$13,5,10))</f>
        <v>10</v>
      </c>
      <c r="L54" s="284">
        <f>IF($E54='Auto Responses'!$L$13, 'Auto Responses'!$J$5,IF(AND($D54='Auto Responses'!$J$27,$H54=""),'Auto Responses'!$J$5,IF(AND($D54='Auto Responses'!$J$27,$H54='Auto Responses'!$J$7),1,IF(AND($D54='Auto Responses'!$J$27,$H54='Auto Responses'!$J$8),0,IF(OR(AND($F54=$G54,$H54=""),$H54='Auto Responses'!$J$7),1,0)))))</f>
        <v>0</v>
      </c>
      <c r="M54" s="315" t="str">
        <f>VLOOKUP($A54,'Institution Evaluation'!$A$56:$K$345,11,0)&amp;""</f>
        <v>FALSCH</v>
      </c>
      <c r="N54" s="315">
        <f>IF($J54='Auto Responses'!$J$11,1,IF(AND($J54="",$I54='Auto Responses'!$J$11),1,0))</f>
        <v>0</v>
      </c>
      <c r="O54" s="284">
        <f>IF(OR($E54='Auto Responses'!$L$13,$F54='Auto Responses'!$J$5),'Auto Responses'!$J$5,IF($J54="",$K54,IF($J54='Auto Responses'!$J$13,5,IF($J54='Auto Responses'!$J$12,10,IF($J54='Auto Responses'!$J$11,20,0)))))</f>
        <v>10</v>
      </c>
      <c r="P54" s="284">
        <f>IF(OR($O54='Auto Responses'!$J$5,$L54='Auto Responses'!$J$5),'Auto Responses'!$J$5,$O54*$L54)</f>
        <v>0</v>
      </c>
      <c r="Q54" s="284">
        <f t="shared" si="1"/>
        <v>0</v>
      </c>
      <c r="R54" s="284">
        <f t="shared" si="5"/>
        <v>0</v>
      </c>
      <c r="S54" s="284">
        <f t="shared" si="2"/>
        <v>0</v>
      </c>
      <c r="T54" s="284">
        <f t="shared" si="3"/>
        <v>0</v>
      </c>
      <c r="U54" s="284">
        <f t="shared" si="6"/>
        <v>10</v>
      </c>
      <c r="V54" s="284">
        <f t="shared" si="4"/>
        <v>0</v>
      </c>
    </row>
    <row r="55" spans="1:22" ht="55.5" customHeight="1" x14ac:dyDescent="0.2">
      <c r="A55" s="315" t="str">
        <f>Questions!$A55</f>
        <v>CONS-01</v>
      </c>
      <c r="B55" s="315" t="str">
        <f t="shared" si="0"/>
        <v>CONS</v>
      </c>
      <c r="C55" s="315" t="str">
        <f>VLOOKUP($A55,Questions!$A$3:$L$333,2,0)&amp;""</f>
        <v>Will the consultant require access to the institution's network resources?*</v>
      </c>
      <c r="D55" s="315" t="str">
        <f>VLOOKUP($A55,Questions!$A$3:$L$333,11,0)&amp;""</f>
        <v/>
      </c>
      <c r="E55" s="315" t="str">
        <f>VLOOKUP($A55,Questions!$A$3:$L$333,12,0)&amp;""</f>
        <v>Case-Specific</v>
      </c>
      <c r="F55" s="315" t="str">
        <f>VLOOKUP($A55,'Institution Evaluation'!$A$56:$K$345,3,0)&amp;""</f>
        <v>N/A</v>
      </c>
      <c r="G55" s="315" t="str">
        <f>VLOOKUP($A55,'Institution Evaluation'!$A$56:$K$345,7,0)&amp;""</f>
        <v>No</v>
      </c>
      <c r="H55" s="315" t="str">
        <f>VLOOKUP($A55,'Institution Evaluation'!$A$56:$K$345,8,0)&amp;""</f>
        <v/>
      </c>
      <c r="I55" s="315" t="str">
        <f>VLOOKUP($A55,'Institution Evaluation'!$A$56:$K$345,9,0)&amp;""</f>
        <v>Critical Importance</v>
      </c>
      <c r="J55" s="315" t="str">
        <f>VLOOKUP($A55,'Institution Evaluation'!$A$56:$K$345,10,0)&amp;""</f>
        <v/>
      </c>
      <c r="K55" s="315">
        <f>IF($I55='Auto Responses'!$J$11,20,IF($I55='Auto Responses'!$J$13,5,10))</f>
        <v>20</v>
      </c>
      <c r="L55" s="284">
        <f>IF($E55='Auto Responses'!$L$13, 'Auto Responses'!$J$5,IF(AND($D55='Auto Responses'!$J$27,$H55=""),'Auto Responses'!$J$5,IF(AND($D55='Auto Responses'!$J$27,$H55='Auto Responses'!$J$7),1,IF(AND($D55='Auto Responses'!$J$27,$H55='Auto Responses'!$J$8),0,IF(OR(AND($F55=$G55,$H55=""),$H55='Auto Responses'!$J$7),1,0)))))</f>
        <v>0</v>
      </c>
      <c r="M55" s="315" t="str">
        <f>VLOOKUP($A55,'Institution Evaluation'!$A$56:$K$345,11,0)&amp;""</f>
        <v>FALSCH</v>
      </c>
      <c r="N55" s="315">
        <f>IF($J55='Auto Responses'!$J$11,1,IF(AND($J55="",$I55='Auto Responses'!$J$11),1,0))</f>
        <v>1</v>
      </c>
      <c r="O55" s="284" t="str">
        <f>IF(OR($F$19='Auto Responses'!$J$4,$E55='Auto Responses'!$L$13,$F55='Auto Responses'!$J$5),'Auto Responses'!$J$5,IF($J55="",$K55,IF($J55='Auto Responses'!$J$13,5,IF($J55='Auto Responses'!$J$12,10,IF($J55='Auto Responses'!$J$11,20,0)))))</f>
        <v>N/A</v>
      </c>
      <c r="P55" s="284" t="str">
        <f>IF(OR($O55='Auto Responses'!$J$5,$L55='Auto Responses'!$J$5),'Auto Responses'!$J$5,$O55*$L55)</f>
        <v>N/A</v>
      </c>
      <c r="Q55" s="284">
        <f t="shared" si="1"/>
        <v>0</v>
      </c>
      <c r="R55" s="284">
        <f t="shared" si="5"/>
        <v>0</v>
      </c>
      <c r="S55" s="284">
        <f t="shared" si="2"/>
        <v>0</v>
      </c>
      <c r="T55" s="284">
        <f t="shared" si="3"/>
        <v>1</v>
      </c>
      <c r="U55" s="284">
        <f t="shared" si="6"/>
        <v>11</v>
      </c>
      <c r="V55" s="284">
        <f t="shared" si="4"/>
        <v>11</v>
      </c>
    </row>
    <row r="56" spans="1:22" ht="55.5" customHeight="1" x14ac:dyDescent="0.2">
      <c r="A56" s="315" t="str">
        <f>Questions!$A56</f>
        <v>CONS-02</v>
      </c>
      <c r="B56" s="315" t="str">
        <f t="shared" si="0"/>
        <v>CONS</v>
      </c>
      <c r="C56" s="315" t="str">
        <f>VLOOKUP($A56,Questions!$A$3:$L$333,2,0)&amp;""</f>
        <v>Has the consultant received training on (sensitive, HIPAA, PCI, etc.) data handling?*</v>
      </c>
      <c r="D56" s="315" t="str">
        <f>VLOOKUP($A56,Questions!$A$3:$L$333,11,0)&amp;""</f>
        <v/>
      </c>
      <c r="E56" s="315" t="str">
        <f>VLOOKUP($A56,Questions!$A$3:$L$333,12,0)&amp;""</f>
        <v>Case-Specific</v>
      </c>
      <c r="F56" s="315" t="str">
        <f>VLOOKUP($A56,'Institution Evaluation'!$A$56:$K$345,3,0)&amp;""</f>
        <v>N/A</v>
      </c>
      <c r="G56" s="315" t="str">
        <f>VLOOKUP($A56,'Institution Evaluation'!$A$56:$K$345,7,0)&amp;""</f>
        <v>Yes</v>
      </c>
      <c r="H56" s="315" t="str">
        <f>VLOOKUP($A56,'Institution Evaluation'!$A$56:$K$345,8,0)&amp;""</f>
        <v/>
      </c>
      <c r="I56" s="315" t="str">
        <f>VLOOKUP($A56,'Institution Evaluation'!$A$56:$K$345,9,0)&amp;""</f>
        <v>Critical Importance</v>
      </c>
      <c r="J56" s="315" t="str">
        <f>VLOOKUP($A56,'Institution Evaluation'!$A$56:$K$345,10,0)&amp;""</f>
        <v/>
      </c>
      <c r="K56" s="315">
        <f>IF($I56='Auto Responses'!$J$11,20,IF($I56='Auto Responses'!$J$13,5,10))</f>
        <v>20</v>
      </c>
      <c r="L56" s="284">
        <f>IF($E56='Auto Responses'!$L$13, 'Auto Responses'!$J$5,IF(AND($D56='Auto Responses'!$J$27,$H56=""),'Auto Responses'!$J$5,IF(AND($D56='Auto Responses'!$J$27,$H56='Auto Responses'!$J$7),1,IF(AND($D56='Auto Responses'!$J$27,$H56='Auto Responses'!$J$8),0,IF(OR(AND($F56=$G56,$H56=""),$H56='Auto Responses'!$J$7),1,0)))))</f>
        <v>0</v>
      </c>
      <c r="M56" s="315" t="str">
        <f>VLOOKUP($A56,'Institution Evaluation'!$A$56:$K$345,11,0)&amp;""</f>
        <v>FALSCH</v>
      </c>
      <c r="N56" s="315">
        <f>IF($J56='Auto Responses'!$J$11,1,IF(AND($J56="",$I56='Auto Responses'!$J$11),1,0))</f>
        <v>1</v>
      </c>
      <c r="O56" s="284" t="str">
        <f>IF(OR($F$19='Auto Responses'!$J$4,$E56='Auto Responses'!$L$13,$F56='Auto Responses'!$J$5),'Auto Responses'!$J$5,IF($J56="",$K56,IF($J56='Auto Responses'!$J$13,5,IF($J56='Auto Responses'!$J$12,10,IF($J56='Auto Responses'!$J$11,20,0)))))</f>
        <v>N/A</v>
      </c>
      <c r="P56" s="284" t="str">
        <f>IF(OR($O56='Auto Responses'!$J$5,$L56='Auto Responses'!$J$5),'Auto Responses'!$J$5,$O56*$L56)</f>
        <v>N/A</v>
      </c>
      <c r="Q56" s="284">
        <f t="shared" si="1"/>
        <v>0</v>
      </c>
      <c r="R56" s="284">
        <f t="shared" si="5"/>
        <v>0</v>
      </c>
      <c r="S56" s="284">
        <f t="shared" si="2"/>
        <v>0</v>
      </c>
      <c r="T56" s="284">
        <f t="shared" si="3"/>
        <v>1</v>
      </c>
      <c r="U56" s="284">
        <f t="shared" si="6"/>
        <v>12</v>
      </c>
      <c r="V56" s="284">
        <f t="shared" si="4"/>
        <v>12</v>
      </c>
    </row>
    <row r="57" spans="1:22" ht="55.5" customHeight="1" x14ac:dyDescent="0.2">
      <c r="A57" s="315" t="str">
        <f>Questions!$A57</f>
        <v>CONS-03</v>
      </c>
      <c r="B57" s="315" t="str">
        <f t="shared" si="0"/>
        <v>CONS</v>
      </c>
      <c r="C57" s="315" t="str">
        <f>VLOOKUP($A57,Questions!$A$3:$L$333,2,0)&amp;""</f>
        <v>Is the data encrypted (at rest) while in the consultant's possession?*</v>
      </c>
      <c r="D57" s="315" t="str">
        <f>VLOOKUP($A57,Questions!$A$3:$L$333,11,0)&amp;""</f>
        <v/>
      </c>
      <c r="E57" s="315" t="str">
        <f>VLOOKUP($A57,Questions!$A$3:$L$333,12,0)&amp;""</f>
        <v>Case-Specific</v>
      </c>
      <c r="F57" s="315" t="str">
        <f>VLOOKUP($A57,'Institution Evaluation'!$A$56:$K$345,3,0)&amp;""</f>
        <v>N/A</v>
      </c>
      <c r="G57" s="315" t="str">
        <f>VLOOKUP($A57,'Institution Evaluation'!$A$56:$K$345,7,0)&amp;""</f>
        <v>Yes</v>
      </c>
      <c r="H57" s="315" t="str">
        <f>VLOOKUP($A57,'Institution Evaluation'!$A$56:$K$345,8,0)&amp;""</f>
        <v/>
      </c>
      <c r="I57" s="315" t="str">
        <f>VLOOKUP($A57,'Institution Evaluation'!$A$56:$K$345,9,0)&amp;""</f>
        <v>Critical Importance</v>
      </c>
      <c r="J57" s="315" t="str">
        <f>VLOOKUP($A57,'Institution Evaluation'!$A$56:$K$345,10,0)&amp;""</f>
        <v/>
      </c>
      <c r="K57" s="315">
        <f>IF($I57='Auto Responses'!$J$11,20,IF($I57='Auto Responses'!$J$13,5,10))</f>
        <v>20</v>
      </c>
      <c r="L57" s="284">
        <f>IF($E57='Auto Responses'!$L$13, 'Auto Responses'!$J$5,IF(AND($D57='Auto Responses'!$J$27,$H57=""),'Auto Responses'!$J$5,IF(AND($D57='Auto Responses'!$J$27,$H57='Auto Responses'!$J$7),1,IF(AND($D57='Auto Responses'!$J$27,$H57='Auto Responses'!$J$8),0,IF(OR(AND($F57=$G57,$H57=""),$H57='Auto Responses'!$J$7),1,0)))))</f>
        <v>0</v>
      </c>
      <c r="M57" s="315" t="str">
        <f>VLOOKUP($A57,'Institution Evaluation'!$A$56:$K$345,11,0)&amp;""</f>
        <v>FALSCH</v>
      </c>
      <c r="N57" s="315">
        <f>IF($J57='Auto Responses'!$J$11,1,IF(AND($J57="",$I57='Auto Responses'!$J$11),1,0))</f>
        <v>1</v>
      </c>
      <c r="O57" s="284" t="str">
        <f>IF(OR($F$19='Auto Responses'!$J$4,$E57='Auto Responses'!$L$13,$F57='Auto Responses'!$J$5),'Auto Responses'!$J$5,IF($J57="",$K57,IF($J57='Auto Responses'!$J$13,5,IF($J57='Auto Responses'!$J$12,10,IF($J57='Auto Responses'!$J$11,20,0)))))</f>
        <v>N/A</v>
      </c>
      <c r="P57" s="284" t="str">
        <f>IF(OR($O57='Auto Responses'!$J$5,$L57='Auto Responses'!$J$5),'Auto Responses'!$J$5,$O57*$L57)</f>
        <v>N/A</v>
      </c>
      <c r="Q57" s="284">
        <f t="shared" si="1"/>
        <v>0</v>
      </c>
      <c r="R57" s="284">
        <f t="shared" si="5"/>
        <v>0</v>
      </c>
      <c r="S57" s="284">
        <f t="shared" si="2"/>
        <v>0</v>
      </c>
      <c r="T57" s="284">
        <f t="shared" si="3"/>
        <v>1</v>
      </c>
      <c r="U57" s="284">
        <f t="shared" si="6"/>
        <v>13</v>
      </c>
      <c r="V57" s="284">
        <f t="shared" si="4"/>
        <v>13</v>
      </c>
    </row>
    <row r="58" spans="1:22" ht="55.5" customHeight="1" x14ac:dyDescent="0.2">
      <c r="A58" s="315" t="str">
        <f>Questions!$A58</f>
        <v>CONS-04</v>
      </c>
      <c r="B58" s="315" t="str">
        <f t="shared" si="0"/>
        <v>CONS</v>
      </c>
      <c r="C58" s="315" t="str">
        <f>VLOOKUP($A58,Questions!$A$3:$L$333,2,0)&amp;""</f>
        <v>Can access be restricted based on source IP address?*</v>
      </c>
      <c r="D58" s="315" t="str">
        <f>VLOOKUP($A58,Questions!$A$3:$L$333,11,0)&amp;""</f>
        <v/>
      </c>
      <c r="E58" s="315" t="str">
        <f>VLOOKUP($A58,Questions!$A$3:$L$333,12,0)&amp;""</f>
        <v>Case-Specific</v>
      </c>
      <c r="F58" s="315" t="str">
        <f>VLOOKUP($A58,'Institution Evaluation'!$A$56:$K$345,3,0)&amp;""</f>
        <v>N/A</v>
      </c>
      <c r="G58" s="315" t="str">
        <f>VLOOKUP($A58,'Institution Evaluation'!$A$56:$K$345,7,0)&amp;""</f>
        <v>Yes</v>
      </c>
      <c r="H58" s="315" t="str">
        <f>VLOOKUP($A58,'Institution Evaluation'!$A$56:$K$345,8,0)&amp;""</f>
        <v/>
      </c>
      <c r="I58" s="315" t="str">
        <f>VLOOKUP($A58,'Institution Evaluation'!$A$56:$K$345,9,0)&amp;""</f>
        <v>Critical Importance</v>
      </c>
      <c r="J58" s="315" t="str">
        <f>VLOOKUP($A58,'Institution Evaluation'!$A$56:$K$345,10,0)&amp;""</f>
        <v/>
      </c>
      <c r="K58" s="315">
        <f>IF($I58='Auto Responses'!$J$11,20,IF($I58='Auto Responses'!$J$13,5,10))</f>
        <v>20</v>
      </c>
      <c r="L58" s="284">
        <f>IF($E58='Auto Responses'!$L$13, 'Auto Responses'!$J$5,IF(AND($D58='Auto Responses'!$J$27,$H58=""),'Auto Responses'!$J$5,IF(AND($D58='Auto Responses'!$J$27,$H58='Auto Responses'!$J$7),1,IF(AND($D58='Auto Responses'!$J$27,$H58='Auto Responses'!$J$8),0,IF(OR(AND($F58=$G58,$H58=""),$H58='Auto Responses'!$J$7),1,0)))))</f>
        <v>0</v>
      </c>
      <c r="M58" s="315" t="str">
        <f>VLOOKUP($A58,'Institution Evaluation'!$A$56:$K$345,11,0)&amp;""</f>
        <v>FALSCH</v>
      </c>
      <c r="N58" s="315">
        <f>IF($J58='Auto Responses'!$J$11,1,IF(AND($J58="",$I58='Auto Responses'!$J$11),1,0))</f>
        <v>1</v>
      </c>
      <c r="O58" s="284" t="str">
        <f>IF(OR($F$19='Auto Responses'!$J$4,$E58='Auto Responses'!$L$13,$F58='Auto Responses'!$J$5),'Auto Responses'!$J$5,IF($J58="",$K58,IF($J58='Auto Responses'!$J$13,5,IF($J58='Auto Responses'!$J$12,10,IF($J58='Auto Responses'!$J$11,20,0)))))</f>
        <v>N/A</v>
      </c>
      <c r="P58" s="284" t="str">
        <f>IF(OR($O58='Auto Responses'!$J$5,$L58='Auto Responses'!$J$5),'Auto Responses'!$J$5,$O58*$L58)</f>
        <v>N/A</v>
      </c>
      <c r="Q58" s="284">
        <f t="shared" si="1"/>
        <v>0</v>
      </c>
      <c r="R58" s="284">
        <f t="shared" si="5"/>
        <v>0</v>
      </c>
      <c r="S58" s="284">
        <f t="shared" si="2"/>
        <v>0</v>
      </c>
      <c r="T58" s="284">
        <f t="shared" si="3"/>
        <v>1</v>
      </c>
      <c r="U58" s="284">
        <f t="shared" si="6"/>
        <v>14</v>
      </c>
      <c r="V58" s="284">
        <f t="shared" si="4"/>
        <v>14</v>
      </c>
    </row>
    <row r="59" spans="1:22" ht="55.5" customHeight="1" x14ac:dyDescent="0.2">
      <c r="A59" s="315" t="str">
        <f>Questions!$A59</f>
        <v>CONS-05</v>
      </c>
      <c r="B59" s="315" t="str">
        <f t="shared" si="0"/>
        <v>CONS</v>
      </c>
      <c r="C59" s="315" t="str">
        <f>VLOOKUP($A59,Questions!$A$3:$L$333,2,0)&amp;""</f>
        <v>Will the consulting take place on-premises?</v>
      </c>
      <c r="D59" s="315" t="str">
        <f>VLOOKUP($A59,Questions!$A$3:$L$333,11,0)&amp;""</f>
        <v/>
      </c>
      <c r="E59" s="315" t="str">
        <f>VLOOKUP($A59,Questions!$A$3:$L$333,12,0)&amp;""</f>
        <v>Case-Specific</v>
      </c>
      <c r="F59" s="315" t="str">
        <f>VLOOKUP($A59,'Institution Evaluation'!$A$56:$K$345,3,0)&amp;""</f>
        <v>N/A</v>
      </c>
      <c r="G59" s="315" t="str">
        <f>VLOOKUP($A59,'Institution Evaluation'!$A$56:$K$345,7,0)&amp;""</f>
        <v>No</v>
      </c>
      <c r="H59" s="315" t="str">
        <f>VLOOKUP($A59,'Institution Evaluation'!$A$56:$K$345,8,0)&amp;""</f>
        <v/>
      </c>
      <c r="I59" s="315" t="str">
        <f>VLOOKUP($A59,'Institution Evaluation'!$A$56:$K$345,9,0)&amp;""</f>
        <v>Standard Importance</v>
      </c>
      <c r="J59" s="315" t="str">
        <f>VLOOKUP($A59,'Institution Evaluation'!$A$56:$K$345,10,0)&amp;""</f>
        <v/>
      </c>
      <c r="K59" s="315">
        <f>IF($I59='Auto Responses'!$J$11,20,IF($I59='Auto Responses'!$J$13,5,10))</f>
        <v>10</v>
      </c>
      <c r="L59" s="284">
        <f>IF($E59='Auto Responses'!$L$13, 'Auto Responses'!$J$5,IF(AND($D59='Auto Responses'!$J$27,$H59=""),'Auto Responses'!$J$5,IF(AND($D59='Auto Responses'!$J$27,$H59='Auto Responses'!$J$7),1,IF(AND($D59='Auto Responses'!$J$27,$H59='Auto Responses'!$J$8),0,IF(OR(AND($F59=$G59,$H59=""),$H59='Auto Responses'!$J$7),1,0)))))</f>
        <v>0</v>
      </c>
      <c r="M59" s="315" t="str">
        <f>VLOOKUP($A59,'Institution Evaluation'!$A$56:$K$345,11,0)&amp;""</f>
        <v>FALSCH</v>
      </c>
      <c r="N59" s="315">
        <f>IF($J59='Auto Responses'!$J$11,1,IF(AND($J59="",$I59='Auto Responses'!$J$11),1,0))</f>
        <v>0</v>
      </c>
      <c r="O59" s="284" t="str">
        <f>IF(OR($F$19='Auto Responses'!$J$4,$E59='Auto Responses'!$L$13,$F59='Auto Responses'!$J$5),'Auto Responses'!$J$5,IF($J59="",$K59,IF($J59='Auto Responses'!$J$13,5,IF($J59='Auto Responses'!$J$12,10,IF($J59='Auto Responses'!$J$11,20,0)))))</f>
        <v>N/A</v>
      </c>
      <c r="P59" s="284" t="str">
        <f>IF(OR($O59='Auto Responses'!$J$5,$L59='Auto Responses'!$J$5),'Auto Responses'!$J$5,$O59*$L59)</f>
        <v>N/A</v>
      </c>
      <c r="Q59" s="284">
        <f t="shared" si="1"/>
        <v>0</v>
      </c>
      <c r="R59" s="284">
        <f t="shared" si="5"/>
        <v>0</v>
      </c>
      <c r="S59" s="284">
        <f t="shared" si="2"/>
        <v>0</v>
      </c>
      <c r="T59" s="284">
        <f t="shared" si="3"/>
        <v>0</v>
      </c>
      <c r="U59" s="284">
        <f t="shared" si="6"/>
        <v>14</v>
      </c>
      <c r="V59" s="284">
        <f t="shared" si="4"/>
        <v>0</v>
      </c>
    </row>
    <row r="60" spans="1:22" ht="55.5" customHeight="1" x14ac:dyDescent="0.2">
      <c r="A60" s="315" t="str">
        <f>Questions!$A60</f>
        <v>CONS-06</v>
      </c>
      <c r="B60" s="315" t="str">
        <f t="shared" si="0"/>
        <v>CONS</v>
      </c>
      <c r="C60" s="315" t="str">
        <f>VLOOKUP($A60,Questions!$A$3:$L$333,2,0)&amp;""</f>
        <v>Will the consultant require access to hardware in the institution's data centers?</v>
      </c>
      <c r="D60" s="315" t="str">
        <f>VLOOKUP($A60,Questions!$A$3:$L$333,11,0)&amp;""</f>
        <v/>
      </c>
      <c r="E60" s="315" t="str">
        <f>VLOOKUP($A60,Questions!$A$3:$L$333,12,0)&amp;""</f>
        <v>Case-Specific</v>
      </c>
      <c r="F60" s="315" t="str">
        <f>VLOOKUP($A60,'Institution Evaluation'!$A$56:$K$345,3,0)&amp;""</f>
        <v>N/A</v>
      </c>
      <c r="G60" s="315" t="str">
        <f>VLOOKUP($A60,'Institution Evaluation'!$A$56:$K$345,7,0)&amp;""</f>
        <v>No</v>
      </c>
      <c r="H60" s="315" t="str">
        <f>VLOOKUP($A60,'Institution Evaluation'!$A$56:$K$345,8,0)&amp;""</f>
        <v/>
      </c>
      <c r="I60" s="315" t="str">
        <f>VLOOKUP($A60,'Institution Evaluation'!$A$56:$K$345,9,0)&amp;""</f>
        <v>Standard Importance</v>
      </c>
      <c r="J60" s="315" t="str">
        <f>VLOOKUP($A60,'Institution Evaluation'!$A$56:$K$345,10,0)&amp;""</f>
        <v/>
      </c>
      <c r="K60" s="315">
        <f>IF($I60='Auto Responses'!$J$11,20,IF($I60='Auto Responses'!$J$13,5,10))</f>
        <v>10</v>
      </c>
      <c r="L60" s="284">
        <f>IF($E60='Auto Responses'!$L$13, 'Auto Responses'!$J$5,IF(AND($D60='Auto Responses'!$J$27,$H60=""),'Auto Responses'!$J$5,IF(AND($D60='Auto Responses'!$J$27,$H60='Auto Responses'!$J$7),1,IF(AND($D60='Auto Responses'!$J$27,$H60='Auto Responses'!$J$8),0,IF(OR(AND($F60=$G60,$H60=""),$H60='Auto Responses'!$J$7),1,0)))))</f>
        <v>0</v>
      </c>
      <c r="M60" s="315" t="str">
        <f>VLOOKUP($A60,'Institution Evaluation'!$A$56:$K$345,11,0)&amp;""</f>
        <v>FALSCH</v>
      </c>
      <c r="N60" s="315">
        <f>IF($J60='Auto Responses'!$J$11,1,IF(AND($J60="",$I60='Auto Responses'!$J$11),1,0))</f>
        <v>0</v>
      </c>
      <c r="O60" s="284" t="str">
        <f>IF(OR($F$19='Auto Responses'!$J$4,$E60='Auto Responses'!$L$13,$F60='Auto Responses'!$J$5),'Auto Responses'!$J$5,IF($J60="",$K60,IF($J60='Auto Responses'!$J$13,5,IF($J60='Auto Responses'!$J$12,10,IF($J60='Auto Responses'!$J$11,20,0)))))</f>
        <v>N/A</v>
      </c>
      <c r="P60" s="284" t="str">
        <f>IF(OR($O60='Auto Responses'!$J$5,$L60='Auto Responses'!$J$5),'Auto Responses'!$J$5,$O60*$L60)</f>
        <v>N/A</v>
      </c>
      <c r="Q60" s="284">
        <f t="shared" si="1"/>
        <v>0</v>
      </c>
      <c r="R60" s="284">
        <f t="shared" si="5"/>
        <v>0</v>
      </c>
      <c r="S60" s="284">
        <f t="shared" si="2"/>
        <v>0</v>
      </c>
      <c r="T60" s="284">
        <f t="shared" si="3"/>
        <v>0</v>
      </c>
      <c r="U60" s="284">
        <f t="shared" si="6"/>
        <v>14</v>
      </c>
      <c r="V60" s="284">
        <f t="shared" si="4"/>
        <v>0</v>
      </c>
    </row>
    <row r="61" spans="1:22" ht="55.5" customHeight="1" x14ac:dyDescent="0.2">
      <c r="A61" s="315" t="str">
        <f>Questions!$A61</f>
        <v>CONS-07</v>
      </c>
      <c r="B61" s="315" t="str">
        <f t="shared" si="0"/>
        <v>CONS</v>
      </c>
      <c r="C61" s="315" t="str">
        <f>VLOOKUP($A61,Questions!$A$3:$L$333,2,0)&amp;""</f>
        <v>Will the consultant require an account within the institution's domain (@*.edu)?</v>
      </c>
      <c r="D61" s="315" t="str">
        <f>VLOOKUP($A61,Questions!$A$3:$L$333,11,0)&amp;""</f>
        <v/>
      </c>
      <c r="E61" s="315" t="str">
        <f>VLOOKUP($A61,Questions!$A$3:$L$333,12,0)&amp;""</f>
        <v>Case-Specific</v>
      </c>
      <c r="F61" s="315" t="str">
        <f>VLOOKUP($A61,'Institution Evaluation'!$A$56:$K$345,3,0)&amp;""</f>
        <v>N/A</v>
      </c>
      <c r="G61" s="315" t="str">
        <f>VLOOKUP($A61,'Institution Evaluation'!$A$56:$K$345,7,0)&amp;""</f>
        <v>No</v>
      </c>
      <c r="H61" s="315" t="str">
        <f>VLOOKUP($A61,'Institution Evaluation'!$A$56:$K$345,8,0)&amp;""</f>
        <v/>
      </c>
      <c r="I61" s="315" t="str">
        <f>VLOOKUP($A61,'Institution Evaluation'!$A$56:$K$345,9,0)&amp;""</f>
        <v>Standard Importance</v>
      </c>
      <c r="J61" s="315" t="str">
        <f>VLOOKUP($A61,'Institution Evaluation'!$A$56:$K$345,10,0)&amp;""</f>
        <v/>
      </c>
      <c r="K61" s="315">
        <f>IF($I61='Auto Responses'!$J$11,20,IF($I61='Auto Responses'!$J$13,5,10))</f>
        <v>10</v>
      </c>
      <c r="L61" s="284">
        <f>IF($E61='Auto Responses'!$L$13, 'Auto Responses'!$J$5,IF(AND($D61='Auto Responses'!$J$27,$H61=""),'Auto Responses'!$J$5,IF(AND($D61='Auto Responses'!$J$27,$H61='Auto Responses'!$J$7),1,IF(AND($D61='Auto Responses'!$J$27,$H61='Auto Responses'!$J$8),0,IF(OR(AND($F61=$G61,$H61=""),$H61='Auto Responses'!$J$7),1,0)))))</f>
        <v>0</v>
      </c>
      <c r="M61" s="315" t="str">
        <f>VLOOKUP($A61,'Institution Evaluation'!$A$56:$K$345,11,0)&amp;""</f>
        <v>FALSCH</v>
      </c>
      <c r="N61" s="315">
        <f>IF($J61='Auto Responses'!$J$11,1,IF(AND($J61="",$I61='Auto Responses'!$J$11),1,0))</f>
        <v>0</v>
      </c>
      <c r="O61" s="284" t="str">
        <f>IF(OR($F$19='Auto Responses'!$J$4,$E61='Auto Responses'!$L$13,$F61='Auto Responses'!$J$5),'Auto Responses'!$J$5,IF($J61="",$K61,IF($J61='Auto Responses'!$J$13,5,IF($J61='Auto Responses'!$J$12,10,IF($J61='Auto Responses'!$J$11,20,0)))))</f>
        <v>N/A</v>
      </c>
      <c r="P61" s="284" t="str">
        <f>IF(OR($O61='Auto Responses'!$J$5,$L61='Auto Responses'!$J$5),'Auto Responses'!$J$5,$O61*$L61)</f>
        <v>N/A</v>
      </c>
      <c r="Q61" s="284">
        <f t="shared" si="1"/>
        <v>0</v>
      </c>
      <c r="R61" s="284">
        <f t="shared" si="5"/>
        <v>0</v>
      </c>
      <c r="S61" s="284">
        <f t="shared" si="2"/>
        <v>0</v>
      </c>
      <c r="T61" s="284">
        <f t="shared" si="3"/>
        <v>0</v>
      </c>
      <c r="U61" s="284">
        <f t="shared" si="6"/>
        <v>14</v>
      </c>
      <c r="V61" s="284">
        <f t="shared" si="4"/>
        <v>0</v>
      </c>
    </row>
    <row r="62" spans="1:22" ht="55.5" customHeight="1" x14ac:dyDescent="0.2">
      <c r="A62" s="315" t="str">
        <f>Questions!$A62</f>
        <v>CONS-08</v>
      </c>
      <c r="B62" s="315" t="str">
        <f t="shared" si="0"/>
        <v>CONS</v>
      </c>
      <c r="C62" s="315" t="str">
        <f>VLOOKUP($A62,Questions!$A$3:$L$333,2,0)&amp;""</f>
        <v>Will any data be transferred to the consultant's possession?</v>
      </c>
      <c r="D62" s="315" t="str">
        <f>VLOOKUP($A62,Questions!$A$3:$L$333,11,0)&amp;""</f>
        <v/>
      </c>
      <c r="E62" s="315" t="str">
        <f>VLOOKUP($A62,Questions!$A$3:$L$333,12,0)&amp;""</f>
        <v>Case-Specific</v>
      </c>
      <c r="F62" s="315" t="str">
        <f>VLOOKUP($A62,'Institution Evaluation'!$A$56:$K$345,3,0)&amp;""</f>
        <v>N/A</v>
      </c>
      <c r="G62" s="315" t="str">
        <f>VLOOKUP($A62,'Institution Evaluation'!$A$56:$K$345,7,0)&amp;""</f>
        <v>No</v>
      </c>
      <c r="H62" s="315" t="str">
        <f>VLOOKUP($A62,'Institution Evaluation'!$A$56:$K$345,8,0)&amp;""</f>
        <v/>
      </c>
      <c r="I62" s="315" t="str">
        <f>VLOOKUP($A62,'Institution Evaluation'!$A$56:$K$345,9,0)&amp;""</f>
        <v>Standard Importance</v>
      </c>
      <c r="J62" s="315" t="str">
        <f>VLOOKUP($A62,'Institution Evaluation'!$A$56:$K$345,10,0)&amp;""</f>
        <v/>
      </c>
      <c r="K62" s="315">
        <f>IF($I62='Auto Responses'!$J$11,20,IF($I62='Auto Responses'!$J$13,5,10))</f>
        <v>10</v>
      </c>
      <c r="L62" s="284">
        <f>IF($E62='Auto Responses'!$L$13, 'Auto Responses'!$J$5,IF(AND($D62='Auto Responses'!$J$27,$H62=""),'Auto Responses'!$J$5,IF(AND($D62='Auto Responses'!$J$27,$H62='Auto Responses'!$J$7),1,IF(AND($D62='Auto Responses'!$J$27,$H62='Auto Responses'!$J$8),0,IF(OR(AND($F62=$G62,$H62=""),$H62='Auto Responses'!$J$7),1,0)))))</f>
        <v>0</v>
      </c>
      <c r="M62" s="315" t="str">
        <f>VLOOKUP($A62,'Institution Evaluation'!$A$56:$K$345,11,0)&amp;""</f>
        <v>FALSCH</v>
      </c>
      <c r="N62" s="315">
        <f>IF($J62='Auto Responses'!$J$11,1,IF(AND($J62="",$I62='Auto Responses'!$J$11),1,0))</f>
        <v>0</v>
      </c>
      <c r="O62" s="284" t="str">
        <f>IF(OR($F$19='Auto Responses'!$J$4,$E62='Auto Responses'!$L$13,$F62='Auto Responses'!$J$5),'Auto Responses'!$J$5,IF($J62="",$K62,IF($J62='Auto Responses'!$J$13,5,IF($J62='Auto Responses'!$J$12,10,IF($J62='Auto Responses'!$J$11,20,0)))))</f>
        <v>N/A</v>
      </c>
      <c r="P62" s="284" t="str">
        <f>IF(OR($O62='Auto Responses'!$J$5,$L62='Auto Responses'!$J$5),'Auto Responses'!$J$5,$O62*$L62)</f>
        <v>N/A</v>
      </c>
      <c r="Q62" s="284">
        <f t="shared" si="1"/>
        <v>0</v>
      </c>
      <c r="R62" s="284">
        <f t="shared" si="5"/>
        <v>0</v>
      </c>
      <c r="S62" s="284">
        <f t="shared" si="2"/>
        <v>0</v>
      </c>
      <c r="T62" s="284">
        <f t="shared" si="3"/>
        <v>0</v>
      </c>
      <c r="U62" s="284">
        <f t="shared" si="6"/>
        <v>14</v>
      </c>
      <c r="V62" s="284">
        <f t="shared" si="4"/>
        <v>0</v>
      </c>
    </row>
    <row r="63" spans="1:22" ht="55.5" customHeight="1" x14ac:dyDescent="0.2">
      <c r="A63" s="315" t="str">
        <f>Questions!$A63</f>
        <v>CONS-09</v>
      </c>
      <c r="B63" s="315" t="str">
        <f t="shared" si="0"/>
        <v>CONS</v>
      </c>
      <c r="C63" s="315" t="str">
        <f>VLOOKUP($A63,Questions!$A$3:$L$333,2,0)&amp;""</f>
        <v>Will the consultant need remote access to the institution's network or systems?</v>
      </c>
      <c r="D63" s="315" t="str">
        <f>VLOOKUP($A63,Questions!$A$3:$L$333,11,0)&amp;""</f>
        <v/>
      </c>
      <c r="E63" s="315" t="str">
        <f>VLOOKUP($A63,Questions!$A$3:$L$333,12,0)&amp;""</f>
        <v>Case-Specific</v>
      </c>
      <c r="F63" s="315" t="str">
        <f>VLOOKUP($A63,'Institution Evaluation'!$A$56:$K$345,3,0)&amp;""</f>
        <v>N/A</v>
      </c>
      <c r="G63" s="315" t="str">
        <f>VLOOKUP($A63,'Institution Evaluation'!$A$56:$K$345,7,0)&amp;""</f>
        <v>No</v>
      </c>
      <c r="H63" s="315" t="str">
        <f>VLOOKUP($A63,'Institution Evaluation'!$A$56:$K$345,8,0)&amp;""</f>
        <v/>
      </c>
      <c r="I63" s="315" t="str">
        <f>VLOOKUP($A63,'Institution Evaluation'!$A$56:$K$345,9,0)&amp;""</f>
        <v>Standard Importance</v>
      </c>
      <c r="J63" s="315" t="str">
        <f>VLOOKUP($A63,'Institution Evaluation'!$A$56:$K$345,10,0)&amp;""</f>
        <v/>
      </c>
      <c r="K63" s="315">
        <f>IF($I63='Auto Responses'!$J$11,20,IF($I63='Auto Responses'!$J$13,5,10))</f>
        <v>10</v>
      </c>
      <c r="L63" s="284">
        <f>IF($E63='Auto Responses'!$L$13, 'Auto Responses'!$J$5,IF(AND($D63='Auto Responses'!$J$27,$H63=""),'Auto Responses'!$J$5,IF(AND($D63='Auto Responses'!$J$27,$H63='Auto Responses'!$J$7),1,IF(AND($D63='Auto Responses'!$J$27,$H63='Auto Responses'!$J$8),0,IF(OR(AND($F63=$G63,$H63=""),$H63='Auto Responses'!$J$7),1,0)))))</f>
        <v>0</v>
      </c>
      <c r="M63" s="315" t="str">
        <f>VLOOKUP($A63,'Institution Evaluation'!$A$56:$K$345,11,0)&amp;""</f>
        <v>FALSCH</v>
      </c>
      <c r="N63" s="315">
        <f>IF($J63='Auto Responses'!$J$11,1,IF(AND($J63="",$I63='Auto Responses'!$J$11),1,0))</f>
        <v>0</v>
      </c>
      <c r="O63" s="284" t="str">
        <f>IF(OR($F$19='Auto Responses'!$J$4,$E63='Auto Responses'!$L$13,$F63='Auto Responses'!$J$5),'Auto Responses'!$J$5,IF($J63="",$K63,IF($J63='Auto Responses'!$J$13,5,IF($J63='Auto Responses'!$J$12,10,IF($J63='Auto Responses'!$J$11,20,0)))))</f>
        <v>N/A</v>
      </c>
      <c r="P63" s="284" t="str">
        <f>IF(OR($O63='Auto Responses'!$J$5,$L63='Auto Responses'!$J$5),'Auto Responses'!$J$5,$O63*$L63)</f>
        <v>N/A</v>
      </c>
      <c r="Q63" s="284">
        <f t="shared" si="1"/>
        <v>0</v>
      </c>
      <c r="R63" s="284">
        <f t="shared" si="5"/>
        <v>0</v>
      </c>
      <c r="S63" s="284">
        <f t="shared" si="2"/>
        <v>0</v>
      </c>
      <c r="T63" s="284">
        <f t="shared" si="3"/>
        <v>0</v>
      </c>
      <c r="U63" s="284">
        <f t="shared" si="6"/>
        <v>14</v>
      </c>
      <c r="V63" s="284">
        <f t="shared" si="4"/>
        <v>0</v>
      </c>
    </row>
    <row r="64" spans="1:22" ht="55.5" customHeight="1" x14ac:dyDescent="0.2">
      <c r="A64" s="315" t="str">
        <f>Questions!$A64</f>
        <v>APPL-01</v>
      </c>
      <c r="B64" s="315" t="str">
        <f t="shared" si="0"/>
        <v>APPL</v>
      </c>
      <c r="C64" s="315" t="str">
        <f>VLOOKUP($A64,Questions!$A$3:$L$333,2,0)&amp;""</f>
        <v>Are access controls for institutional accounts based on structured rules, such as role-based access control (RBAC), attribute-based access control (ABAC), or policy-based access control (PBAC)?*</v>
      </c>
      <c r="D64" s="315" t="str">
        <f>VLOOKUP($A64,Questions!$A$3:$L$333,11,0)&amp;""</f>
        <v/>
      </c>
      <c r="E64" s="315" t="str">
        <f>VLOOKUP($A64,Questions!$A$3:$L$333,12,0)&amp;""</f>
        <v>Infrastructure</v>
      </c>
      <c r="F64" s="315" t="str">
        <f>VLOOKUP($A64,'Institution Evaluation'!$A$56:$K$345,3,0)&amp;""</f>
        <v>N/A</v>
      </c>
      <c r="G64" s="315" t="str">
        <f>VLOOKUP($A64,'Institution Evaluation'!$A$56:$K$345,7,0)&amp;""</f>
        <v>Yes</v>
      </c>
      <c r="H64" s="315" t="str">
        <f>VLOOKUP($A64,'Institution Evaluation'!$A$56:$K$345,8,0)&amp;""</f>
        <v/>
      </c>
      <c r="I64" s="315" t="str">
        <f>VLOOKUP($A64,'Institution Evaluation'!$A$56:$K$345,9,0)&amp;""</f>
        <v>Critical Importance</v>
      </c>
      <c r="J64" s="315" t="str">
        <f>VLOOKUP($A64,'Institution Evaluation'!$A$56:$K$345,10,0)&amp;""</f>
        <v/>
      </c>
      <c r="K64" s="315">
        <f>IF($I64='Auto Responses'!$J$11,20,IF($I64='Auto Responses'!$J$13,5,10))</f>
        <v>20</v>
      </c>
      <c r="L64" s="284">
        <f>IF($E64='Auto Responses'!$L$13, 'Auto Responses'!$J$5,IF(AND($D64='Auto Responses'!$J$27,$H64=""),'Auto Responses'!$J$5,IF(AND($D64='Auto Responses'!$J$27,$H64='Auto Responses'!$J$7),1,IF(AND($D64='Auto Responses'!$J$27,$H64='Auto Responses'!$J$8),0,IF(OR(AND($F64=$G64,$H64=""),$H64='Auto Responses'!$J$7),1,0)))))</f>
        <v>0</v>
      </c>
      <c r="M64" s="315" t="str">
        <f>VLOOKUP($A64,'Institution Evaluation'!$A$56:$K$345,11,0)&amp;""</f>
        <v>FALSCH</v>
      </c>
      <c r="N64" s="315">
        <f>IF($J64='Auto Responses'!$J$11,1,IF(AND($J64="",$I64='Auto Responses'!$J$11),1,0))</f>
        <v>1</v>
      </c>
      <c r="O64" s="284" t="str">
        <f>IF(OR($F$17='Auto Responses'!$J$4,$E64='Auto Responses'!$L$13,$F64='Auto Responses'!$J$5),'Auto Responses'!$J$5,IF($J64="",$K64,IF($J64='Auto Responses'!$J$13,5,IF($J64='Auto Responses'!$J$12,10,IF($J64='Auto Responses'!$J$11,20,0)))))</f>
        <v>N/A</v>
      </c>
      <c r="P64" s="284" t="str">
        <f>IF(OR($O64='Auto Responses'!$J$5,$L64='Auto Responses'!$J$5),'Auto Responses'!$J$5,$O64*$L64)</f>
        <v>N/A</v>
      </c>
      <c r="Q64" s="284">
        <f t="shared" si="1"/>
        <v>0</v>
      </c>
      <c r="R64" s="284">
        <f t="shared" si="5"/>
        <v>0</v>
      </c>
      <c r="S64" s="284">
        <f t="shared" si="2"/>
        <v>0</v>
      </c>
      <c r="T64" s="284">
        <f t="shared" si="3"/>
        <v>1</v>
      </c>
      <c r="U64" s="284">
        <f t="shared" si="6"/>
        <v>15</v>
      </c>
      <c r="V64" s="284">
        <f t="shared" si="4"/>
        <v>15</v>
      </c>
    </row>
    <row r="65" spans="1:22" ht="55.5" customHeight="1" x14ac:dyDescent="0.2">
      <c r="A65" s="315" t="str">
        <f>Questions!$A65</f>
        <v>APPL-02</v>
      </c>
      <c r="B65" s="315" t="str">
        <f t="shared" si="0"/>
        <v>APPL</v>
      </c>
      <c r="C65" s="315" t="str">
        <f>VLOOKUP($A65,Questions!$A$3:$L$333,2,0)&amp;""</f>
        <v>Are you using a web application firewall (WAF)?*</v>
      </c>
      <c r="D65" s="315" t="str">
        <f>VLOOKUP($A65,Questions!$A$3:$L$333,11,0)&amp;""</f>
        <v/>
      </c>
      <c r="E65" s="315" t="str">
        <f>VLOOKUP($A65,Questions!$A$3:$L$333,12,0)&amp;""</f>
        <v>Infrastructure</v>
      </c>
      <c r="F65" s="315" t="str">
        <f>VLOOKUP($A65,'Institution Evaluation'!$A$56:$K$345,3,0)&amp;""</f>
        <v>N/A</v>
      </c>
      <c r="G65" s="315" t="str">
        <f>VLOOKUP($A65,'Institution Evaluation'!$A$56:$K$345,7,0)&amp;""</f>
        <v>Yes</v>
      </c>
      <c r="H65" s="315" t="str">
        <f>VLOOKUP($A65,'Institution Evaluation'!$A$56:$K$345,8,0)&amp;""</f>
        <v/>
      </c>
      <c r="I65" s="315" t="str">
        <f>VLOOKUP($A65,'Institution Evaluation'!$A$56:$K$345,9,0)&amp;""</f>
        <v>Critical Importance</v>
      </c>
      <c r="J65" s="315" t="str">
        <f>VLOOKUP($A65,'Institution Evaluation'!$A$56:$K$345,10,0)&amp;""</f>
        <v/>
      </c>
      <c r="K65" s="315">
        <f>IF($I65='Auto Responses'!$J$11,20,IF($I65='Auto Responses'!$J$13,5,10))</f>
        <v>20</v>
      </c>
      <c r="L65" s="284">
        <f>IF($E65='Auto Responses'!$L$13, 'Auto Responses'!$J$5,IF(AND($D65='Auto Responses'!$J$27,$H65=""),'Auto Responses'!$J$5,IF(AND($D65='Auto Responses'!$J$27,$H65='Auto Responses'!$J$7),1,IF(AND($D65='Auto Responses'!$J$27,$H65='Auto Responses'!$J$8),0,IF(OR(AND($F65=$G65,$H65=""),$H65='Auto Responses'!$J$7),1,0)))))</f>
        <v>0</v>
      </c>
      <c r="M65" s="315" t="str">
        <f>VLOOKUP($A65,'Institution Evaluation'!$A$56:$K$345,11,0)&amp;""</f>
        <v>FALSCH</v>
      </c>
      <c r="N65" s="315">
        <f>IF($J65='Auto Responses'!$J$11,1,IF(AND($J65="",$I65='Auto Responses'!$J$11),1,0))</f>
        <v>1</v>
      </c>
      <c r="O65" s="284" t="str">
        <f>IF(OR($F$17='Auto Responses'!$J$4,$E65='Auto Responses'!$L$13,$F65='Auto Responses'!$J$5),'Auto Responses'!$J$5,IF($J65="",$K65,IF($J65='Auto Responses'!$J$13,5,IF($J65='Auto Responses'!$J$12,10,IF($J65='Auto Responses'!$J$11,20,0)))))</f>
        <v>N/A</v>
      </c>
      <c r="P65" s="284" t="str">
        <f>IF(OR($O65='Auto Responses'!$J$5,$L65='Auto Responses'!$J$5),'Auto Responses'!$J$5,$O65*$L65)</f>
        <v>N/A</v>
      </c>
      <c r="Q65" s="284">
        <f t="shared" si="1"/>
        <v>0</v>
      </c>
      <c r="R65" s="284">
        <f t="shared" si="5"/>
        <v>0</v>
      </c>
      <c r="S65" s="284">
        <f t="shared" si="2"/>
        <v>0</v>
      </c>
      <c r="T65" s="284">
        <f t="shared" si="3"/>
        <v>1</v>
      </c>
      <c r="U65" s="284">
        <f t="shared" si="6"/>
        <v>16</v>
      </c>
      <c r="V65" s="284">
        <f t="shared" si="4"/>
        <v>16</v>
      </c>
    </row>
    <row r="66" spans="1:22" ht="55.5" customHeight="1" x14ac:dyDescent="0.2">
      <c r="A66" s="315" t="str">
        <f>Questions!$A66</f>
        <v>APPL-03</v>
      </c>
      <c r="B66" s="315" t="str">
        <f t="shared" si="0"/>
        <v>APPL</v>
      </c>
      <c r="C66" s="315" t="str">
        <f>VLOOKUP($A66,Questions!$A$3:$L$333,2,0)&amp;""</f>
        <v>Are only currently supported operating system(s), software, and libraries leveraged by the system(s)/application(s) that will have access to institution's data?*</v>
      </c>
      <c r="D66" s="315" t="str">
        <f>VLOOKUP($A66,Questions!$A$3:$L$333,11,0)&amp;""</f>
        <v/>
      </c>
      <c r="E66" s="315" t="str">
        <f>VLOOKUP($A66,Questions!$A$3:$L$333,12,0)&amp;""</f>
        <v>Infrastructure</v>
      </c>
      <c r="F66" s="315" t="str">
        <f>VLOOKUP($A66,'Institution Evaluation'!$A$56:$K$345,3,0)&amp;""</f>
        <v>N/A</v>
      </c>
      <c r="G66" s="315" t="str">
        <f>VLOOKUP($A66,'Institution Evaluation'!$A$56:$K$345,7,0)&amp;""</f>
        <v>Yes</v>
      </c>
      <c r="H66" s="315" t="str">
        <f>VLOOKUP($A66,'Institution Evaluation'!$A$56:$K$345,8,0)&amp;""</f>
        <v/>
      </c>
      <c r="I66" s="315" t="str">
        <f>VLOOKUP($A66,'Institution Evaluation'!$A$56:$K$345,9,0)&amp;""</f>
        <v>Critical Importance</v>
      </c>
      <c r="J66" s="315" t="str">
        <f>VLOOKUP($A66,'Institution Evaluation'!$A$56:$K$345,10,0)&amp;""</f>
        <v/>
      </c>
      <c r="K66" s="315">
        <f>IF($I66='Auto Responses'!$J$11,20,IF($I66='Auto Responses'!$J$13,5,10))</f>
        <v>20</v>
      </c>
      <c r="L66" s="284">
        <f>IF($E66='Auto Responses'!$L$13, 'Auto Responses'!$J$5,IF(AND($D66='Auto Responses'!$J$27,$H66=""),'Auto Responses'!$J$5,IF(AND($D66='Auto Responses'!$J$27,$H66='Auto Responses'!$J$7),1,IF(AND($D66='Auto Responses'!$J$27,$H66='Auto Responses'!$J$8),0,IF(OR(AND($F66=$G66,$H66=""),$H66='Auto Responses'!$J$7),1,0)))))</f>
        <v>0</v>
      </c>
      <c r="M66" s="315" t="str">
        <f>VLOOKUP($A66,'Institution Evaluation'!$A$56:$K$345,11,0)&amp;""</f>
        <v>FALSCH</v>
      </c>
      <c r="N66" s="315">
        <f>IF($J66='Auto Responses'!$J$11,1,IF(AND($J66="",$I66='Auto Responses'!$J$11),1,0))</f>
        <v>1</v>
      </c>
      <c r="O66" s="284" t="str">
        <f>IF(OR($F$17='Auto Responses'!$J$4,$E66='Auto Responses'!$L$13,$F66='Auto Responses'!$J$5),'Auto Responses'!$J$5,IF($J66="",$K66,IF($J66='Auto Responses'!$J$13,5,IF($J66='Auto Responses'!$J$12,10,IF($J66='Auto Responses'!$J$11,20,0)))))</f>
        <v>N/A</v>
      </c>
      <c r="P66" s="284" t="str">
        <f>IF(OR($O66='Auto Responses'!$J$5,$L66='Auto Responses'!$J$5),'Auto Responses'!$J$5,$O66*$L66)</f>
        <v>N/A</v>
      </c>
      <c r="Q66" s="284">
        <f t="shared" si="1"/>
        <v>0</v>
      </c>
      <c r="R66" s="284">
        <f t="shared" si="5"/>
        <v>0</v>
      </c>
      <c r="S66" s="284">
        <f t="shared" si="2"/>
        <v>0</v>
      </c>
      <c r="T66" s="284">
        <f t="shared" si="3"/>
        <v>1</v>
      </c>
      <c r="U66" s="284">
        <f t="shared" si="6"/>
        <v>17</v>
      </c>
      <c r="V66" s="284">
        <f t="shared" si="4"/>
        <v>17</v>
      </c>
    </row>
    <row r="67" spans="1:22" ht="55.5" customHeight="1" x14ac:dyDescent="0.2">
      <c r="A67" s="315" t="str">
        <f>Questions!$A67</f>
        <v>APPL-04</v>
      </c>
      <c r="B67" s="315" t="str">
        <f t="shared" ref="B67:B130" si="7">LEFT(A67,4)</f>
        <v>APPL</v>
      </c>
      <c r="C67" s="315" t="str">
        <f>VLOOKUP($A67,Questions!$A$3:$L$333,2,0)&amp;""</f>
        <v>Does your application require access to location or GPS data?*</v>
      </c>
      <c r="D67" s="315" t="str">
        <f>VLOOKUP($A67,Questions!$A$3:$L$333,11,0)&amp;""</f>
        <v/>
      </c>
      <c r="E67" s="315" t="str">
        <f>VLOOKUP($A67,Questions!$A$3:$L$333,12,0)&amp;""</f>
        <v>Infrastructure</v>
      </c>
      <c r="F67" s="315" t="str">
        <f>VLOOKUP($A67,'Institution Evaluation'!$A$56:$K$345,3,0)&amp;""</f>
        <v>N/A</v>
      </c>
      <c r="G67" s="315" t="str">
        <f>VLOOKUP($A67,'Institution Evaluation'!$A$56:$K$345,7,0)&amp;""</f>
        <v>No</v>
      </c>
      <c r="H67" s="315" t="str">
        <f>VLOOKUP($A67,'Institution Evaluation'!$A$56:$K$345,8,0)&amp;""</f>
        <v/>
      </c>
      <c r="I67" s="315" t="str">
        <f>VLOOKUP($A67,'Institution Evaluation'!$A$56:$K$345,9,0)&amp;""</f>
        <v>Critical Importance</v>
      </c>
      <c r="J67" s="315" t="str">
        <f>VLOOKUP($A67,'Institution Evaluation'!$A$56:$K$345,10,0)&amp;""</f>
        <v/>
      </c>
      <c r="K67" s="315">
        <f>IF($I67='Auto Responses'!$J$11,20,IF($I67='Auto Responses'!$J$13,5,10))</f>
        <v>20</v>
      </c>
      <c r="L67" s="284">
        <f>IF($E67='Auto Responses'!$L$13, 'Auto Responses'!$J$5,IF(AND($D67='Auto Responses'!$J$27,$H67=""),'Auto Responses'!$J$5,IF(AND($D67='Auto Responses'!$J$27,$H67='Auto Responses'!$J$7),1,IF(AND($D67='Auto Responses'!$J$27,$H67='Auto Responses'!$J$8),0,IF(OR(AND($F67=$G67,$H67=""),$H67='Auto Responses'!$J$7),1,0)))))</f>
        <v>0</v>
      </c>
      <c r="M67" s="315" t="str">
        <f>VLOOKUP($A67,'Institution Evaluation'!$A$56:$K$345,11,0)&amp;""</f>
        <v>FALSCH</v>
      </c>
      <c r="N67" s="315">
        <f>IF($J67='Auto Responses'!$J$11,1,IF(AND($J67="",$I67='Auto Responses'!$J$11),1,0))</f>
        <v>1</v>
      </c>
      <c r="O67" s="284" t="str">
        <f>IF(OR($F$17='Auto Responses'!$J$4,$E67='Auto Responses'!$L$13,$F67='Auto Responses'!$J$5),'Auto Responses'!$J$5,IF($J67="",$K67,IF($J67='Auto Responses'!$J$13,5,IF($J67='Auto Responses'!$J$12,10,IF($J67='Auto Responses'!$J$11,20,0)))))</f>
        <v>N/A</v>
      </c>
      <c r="P67" s="284" t="str">
        <f>IF(OR($O67='Auto Responses'!$J$5,$L67='Auto Responses'!$J$5),'Auto Responses'!$J$5,$O67*$L67)</f>
        <v>N/A</v>
      </c>
      <c r="Q67" s="284">
        <f t="shared" ref="Q67:Q130" si="8">IF(M67="TRUE",1,0)</f>
        <v>0</v>
      </c>
      <c r="R67" s="284">
        <f t="shared" si="5"/>
        <v>0</v>
      </c>
      <c r="S67" s="284">
        <f t="shared" ref="S67:S130" si="9">IF(Q67=0,0,R67)</f>
        <v>0</v>
      </c>
      <c r="T67" s="284">
        <f t="shared" ref="T67:T130" si="10">IF(N67=1,1,0)</f>
        <v>1</v>
      </c>
      <c r="U67" s="284">
        <f t="shared" si="6"/>
        <v>18</v>
      </c>
      <c r="V67" s="284">
        <f t="shared" ref="V67:V130" si="11">IF(T67=0,0,U67)</f>
        <v>18</v>
      </c>
    </row>
    <row r="68" spans="1:22" ht="55.5" customHeight="1" x14ac:dyDescent="0.2">
      <c r="A68" s="315" t="str">
        <f>Questions!$A68</f>
        <v>APPL-05</v>
      </c>
      <c r="B68" s="315" t="str">
        <f t="shared" si="7"/>
        <v>APPL</v>
      </c>
      <c r="C68" s="315" t="str">
        <f>VLOOKUP($A68,Questions!$A$3:$L$333,2,0)&amp;""</f>
        <v>Does your application provide separation of duties between security administration, system administration, and standard user functions?*</v>
      </c>
      <c r="D68" s="315" t="str">
        <f>VLOOKUP($A68,Questions!$A$3:$L$333,11,0)&amp;""</f>
        <v/>
      </c>
      <c r="E68" s="315" t="str">
        <f>VLOOKUP($A68,Questions!$A$3:$L$333,12,0)&amp;""</f>
        <v>Infrastructure</v>
      </c>
      <c r="F68" s="315" t="str">
        <f>VLOOKUP($A68,'Institution Evaluation'!$A$56:$K$345,3,0)&amp;""</f>
        <v>N/A</v>
      </c>
      <c r="G68" s="315" t="str">
        <f>VLOOKUP($A68,'Institution Evaluation'!$A$56:$K$345,7,0)&amp;""</f>
        <v>Yes</v>
      </c>
      <c r="H68" s="315" t="str">
        <f>VLOOKUP($A68,'Institution Evaluation'!$A$56:$K$345,8,0)&amp;""</f>
        <v/>
      </c>
      <c r="I68" s="315" t="str">
        <f>VLOOKUP($A68,'Institution Evaluation'!$A$56:$K$345,9,0)&amp;""</f>
        <v>Critical Importance</v>
      </c>
      <c r="J68" s="315" t="str">
        <f>VLOOKUP($A68,'Institution Evaluation'!$A$56:$K$345,10,0)&amp;""</f>
        <v/>
      </c>
      <c r="K68" s="315">
        <f>IF($I68='Auto Responses'!$J$11,20,IF($I68='Auto Responses'!$J$13,5,10))</f>
        <v>20</v>
      </c>
      <c r="L68" s="284">
        <f>IF($E68='Auto Responses'!$L$13, 'Auto Responses'!$J$5,IF(AND($D68='Auto Responses'!$J$27,$H68=""),'Auto Responses'!$J$5,IF(AND($D68='Auto Responses'!$J$27,$H68='Auto Responses'!$J$7),1,IF(AND($D68='Auto Responses'!$J$27,$H68='Auto Responses'!$J$8),0,IF(OR(AND($F68=$G68,$H68=""),$H68='Auto Responses'!$J$7),1,0)))))</f>
        <v>0</v>
      </c>
      <c r="M68" s="315" t="str">
        <f>VLOOKUP($A68,'Institution Evaluation'!$A$56:$K$345,11,0)&amp;""</f>
        <v>FALSCH</v>
      </c>
      <c r="N68" s="315">
        <f>IF($J68='Auto Responses'!$J$11,1,IF(AND($J68="",$I68='Auto Responses'!$J$11),1,0))</f>
        <v>1</v>
      </c>
      <c r="O68" s="284" t="str">
        <f>IF(OR($F$17='Auto Responses'!$J$4,$E68='Auto Responses'!$L$13,$F68='Auto Responses'!$J$5),'Auto Responses'!$J$5,IF($J68="",$K68,IF($J68='Auto Responses'!$J$13,5,IF($J68='Auto Responses'!$J$12,10,IF($J68='Auto Responses'!$J$11,20,0)))))</f>
        <v>N/A</v>
      </c>
      <c r="P68" s="284" t="str">
        <f>IF(OR($O68='Auto Responses'!$J$5,$L68='Auto Responses'!$J$5),'Auto Responses'!$J$5,$O68*$L68)</f>
        <v>N/A</v>
      </c>
      <c r="Q68" s="284">
        <f t="shared" si="8"/>
        <v>0</v>
      </c>
      <c r="R68" s="284">
        <f t="shared" ref="R68:R131" si="12">R67+Q68</f>
        <v>0</v>
      </c>
      <c r="S68" s="284">
        <f t="shared" si="9"/>
        <v>0</v>
      </c>
      <c r="T68" s="284">
        <f t="shared" si="10"/>
        <v>1</v>
      </c>
      <c r="U68" s="284">
        <f t="shared" ref="U68:U131" si="13">U67+T68</f>
        <v>19</v>
      </c>
      <c r="V68" s="284">
        <f t="shared" si="11"/>
        <v>19</v>
      </c>
    </row>
    <row r="69" spans="1:22" ht="55.5" customHeight="1" x14ac:dyDescent="0.2">
      <c r="A69" s="315" t="str">
        <f>Questions!$A69</f>
        <v>APPL-06</v>
      </c>
      <c r="B69" s="315" t="str">
        <f t="shared" si="7"/>
        <v>APPL</v>
      </c>
      <c r="C69" s="315" t="str">
        <f>VLOOKUP($A69,Questions!$A$3:$L$333,2,0)&amp;""</f>
        <v>Do you subject your code to static code analysis and/or static application security testing prior to release?*</v>
      </c>
      <c r="D69" s="315" t="str">
        <f>VLOOKUP($A69,Questions!$A$3:$L$333,11,0)&amp;""</f>
        <v/>
      </c>
      <c r="E69" s="315" t="str">
        <f>VLOOKUP($A69,Questions!$A$3:$L$333,12,0)&amp;""</f>
        <v>Infrastructure</v>
      </c>
      <c r="F69" s="315" t="str">
        <f>VLOOKUP($A69,'Institution Evaluation'!$A$56:$K$345,3,0)&amp;""</f>
        <v>N/A</v>
      </c>
      <c r="G69" s="315" t="str">
        <f>VLOOKUP($A69,'Institution Evaluation'!$A$56:$K$345,7,0)&amp;""</f>
        <v>Yes</v>
      </c>
      <c r="H69" s="315" t="str">
        <f>VLOOKUP($A69,'Institution Evaluation'!$A$56:$K$345,8,0)&amp;""</f>
        <v/>
      </c>
      <c r="I69" s="315" t="str">
        <f>VLOOKUP($A69,'Institution Evaluation'!$A$56:$K$345,9,0)&amp;""</f>
        <v>Critical Importance</v>
      </c>
      <c r="J69" s="315" t="str">
        <f>VLOOKUP($A69,'Institution Evaluation'!$A$56:$K$345,10,0)&amp;""</f>
        <v/>
      </c>
      <c r="K69" s="315">
        <f>IF($I69='Auto Responses'!$J$11,20,IF($I69='Auto Responses'!$J$13,5,10))</f>
        <v>20</v>
      </c>
      <c r="L69" s="284">
        <f>IF($E69='Auto Responses'!$L$13, 'Auto Responses'!$J$5,IF(AND($D69='Auto Responses'!$J$27,$H69=""),'Auto Responses'!$J$5,IF(AND($D69='Auto Responses'!$J$27,$H69='Auto Responses'!$J$7),1,IF(AND($D69='Auto Responses'!$J$27,$H69='Auto Responses'!$J$8),0,IF(OR(AND($F69=$G69,$H69=""),$H69='Auto Responses'!$J$7),1,0)))))</f>
        <v>0</v>
      </c>
      <c r="M69" s="315" t="str">
        <f>VLOOKUP($A69,'Institution Evaluation'!$A$56:$K$345,11,0)&amp;""</f>
        <v>FALSCH</v>
      </c>
      <c r="N69" s="315">
        <f>IF($J69='Auto Responses'!$J$11,1,IF(AND($J69="",$I69='Auto Responses'!$J$11),1,0))</f>
        <v>1</v>
      </c>
      <c r="O69" s="284" t="str">
        <f>IF(OR($F$17='Auto Responses'!$J$4,$E69='Auto Responses'!$L$13,$F69='Auto Responses'!$J$5),'Auto Responses'!$J$5,IF($J69="",$K69,IF($J69='Auto Responses'!$J$13,5,IF($J69='Auto Responses'!$J$12,10,IF($J69='Auto Responses'!$J$11,20,0)))))</f>
        <v>N/A</v>
      </c>
      <c r="P69" s="284" t="str">
        <f>IF(OR($O69='Auto Responses'!$J$5,$L69='Auto Responses'!$J$5),'Auto Responses'!$J$5,$O69*$L69)</f>
        <v>N/A</v>
      </c>
      <c r="Q69" s="284">
        <f t="shared" si="8"/>
        <v>0</v>
      </c>
      <c r="R69" s="284">
        <f t="shared" si="12"/>
        <v>0</v>
      </c>
      <c r="S69" s="284">
        <f t="shared" si="9"/>
        <v>0</v>
      </c>
      <c r="T69" s="284">
        <f t="shared" si="10"/>
        <v>1</v>
      </c>
      <c r="U69" s="284">
        <f t="shared" si="13"/>
        <v>20</v>
      </c>
      <c r="V69" s="284">
        <f t="shared" si="11"/>
        <v>20</v>
      </c>
    </row>
    <row r="70" spans="1:22" ht="55.5" customHeight="1" x14ac:dyDescent="0.2">
      <c r="A70" s="315" t="str">
        <f>Questions!$A70</f>
        <v>APPL-07</v>
      </c>
      <c r="B70" s="315" t="str">
        <f t="shared" si="7"/>
        <v>APPL</v>
      </c>
      <c r="C70" s="315" t="str">
        <f>VLOOKUP($A70,Questions!$A$3:$L$333,2,0)&amp;""</f>
        <v>Do you have software testing processes (dynamic or static) that are established and followed?*</v>
      </c>
      <c r="D70" s="315" t="str">
        <f>VLOOKUP($A70,Questions!$A$3:$L$333,11,0)&amp;""</f>
        <v/>
      </c>
      <c r="E70" s="315" t="str">
        <f>VLOOKUP($A70,Questions!$A$3:$L$333,12,0)&amp;""</f>
        <v>Infrastructure</v>
      </c>
      <c r="F70" s="315" t="str">
        <f>VLOOKUP($A70,'Institution Evaluation'!$A$56:$K$345,3,0)&amp;""</f>
        <v>N/A</v>
      </c>
      <c r="G70" s="315" t="str">
        <f>VLOOKUP($A70,'Institution Evaluation'!$A$56:$K$345,7,0)&amp;""</f>
        <v>Yes</v>
      </c>
      <c r="H70" s="315" t="str">
        <f>VLOOKUP($A70,'Institution Evaluation'!$A$56:$K$345,8,0)&amp;""</f>
        <v/>
      </c>
      <c r="I70" s="315" t="str">
        <f>VLOOKUP($A70,'Institution Evaluation'!$A$56:$K$345,9,0)&amp;""</f>
        <v>Critical Importance</v>
      </c>
      <c r="J70" s="315" t="str">
        <f>VLOOKUP($A70,'Institution Evaluation'!$A$56:$K$345,10,0)&amp;""</f>
        <v/>
      </c>
      <c r="K70" s="315">
        <f>IF($I70='Auto Responses'!$J$11,20,IF($I70='Auto Responses'!$J$13,5,10))</f>
        <v>20</v>
      </c>
      <c r="L70" s="284">
        <f>IF($E70='Auto Responses'!$L$13, 'Auto Responses'!$J$5,IF(AND($D70='Auto Responses'!$J$27,$H70=""),'Auto Responses'!$J$5,IF(AND($D70='Auto Responses'!$J$27,$H70='Auto Responses'!$J$7),1,IF(AND($D70='Auto Responses'!$J$27,$H70='Auto Responses'!$J$8),0,IF(OR(AND($F70=$G70,$H70=""),$H70='Auto Responses'!$J$7),1,0)))))</f>
        <v>0</v>
      </c>
      <c r="M70" s="315" t="str">
        <f>VLOOKUP($A70,'Institution Evaluation'!$A$56:$K$345,11,0)&amp;""</f>
        <v>FALSCH</v>
      </c>
      <c r="N70" s="315">
        <f>IF($J70='Auto Responses'!$J$11,1,IF(AND($J70="",$I70='Auto Responses'!$J$11),1,0))</f>
        <v>1</v>
      </c>
      <c r="O70" s="284" t="str">
        <f>IF(OR($F$17='Auto Responses'!$J$4,$E70='Auto Responses'!$L$13,$F70='Auto Responses'!$J$5),'Auto Responses'!$J$5,IF($J70="",$K70,IF($J70='Auto Responses'!$J$13,5,IF($J70='Auto Responses'!$J$12,10,IF($J70='Auto Responses'!$J$11,20,0)))))</f>
        <v>N/A</v>
      </c>
      <c r="P70" s="284" t="str">
        <f>IF(OR($O70='Auto Responses'!$J$5,$L70='Auto Responses'!$J$5),'Auto Responses'!$J$5,$O70*$L70)</f>
        <v>N/A</v>
      </c>
      <c r="Q70" s="284">
        <f t="shared" si="8"/>
        <v>0</v>
      </c>
      <c r="R70" s="284">
        <f t="shared" si="12"/>
        <v>0</v>
      </c>
      <c r="S70" s="284">
        <f t="shared" si="9"/>
        <v>0</v>
      </c>
      <c r="T70" s="284">
        <f t="shared" si="10"/>
        <v>1</v>
      </c>
      <c r="U70" s="284">
        <f t="shared" si="13"/>
        <v>21</v>
      </c>
      <c r="V70" s="284">
        <f t="shared" si="11"/>
        <v>21</v>
      </c>
    </row>
    <row r="71" spans="1:22" ht="55.5" customHeight="1" x14ac:dyDescent="0.2">
      <c r="A71" s="315" t="str">
        <f>Questions!$A71</f>
        <v>APPL-08</v>
      </c>
      <c r="B71" s="315" t="str">
        <f t="shared" si="7"/>
        <v>APPL</v>
      </c>
      <c r="C71" s="315" t="str">
        <f>VLOOKUP($A71,Questions!$A$3:$L$333,2,0)&amp;""</f>
        <v>Are access controls for staff within your organization based on structured rules, such as RBAC, ABAC, or PBAC?</v>
      </c>
      <c r="D71" s="315" t="str">
        <f>VLOOKUP($A71,Questions!$A$3:$L$333,11,0)&amp;""</f>
        <v/>
      </c>
      <c r="E71" s="315" t="str">
        <f>VLOOKUP($A71,Questions!$A$3:$L$333,12,0)&amp;""</f>
        <v>Infrastructure</v>
      </c>
      <c r="F71" s="315" t="str">
        <f>VLOOKUP($A71,'Institution Evaluation'!$A$56:$K$345,3,0)&amp;""</f>
        <v>N/A</v>
      </c>
      <c r="G71" s="315" t="str">
        <f>VLOOKUP($A71,'Institution Evaluation'!$A$56:$K$345,7,0)&amp;""</f>
        <v>Yes</v>
      </c>
      <c r="H71" s="315" t="str">
        <f>VLOOKUP($A71,'Institution Evaluation'!$A$56:$K$345,8,0)&amp;""</f>
        <v/>
      </c>
      <c r="I71" s="315" t="str">
        <f>VLOOKUP($A71,'Institution Evaluation'!$A$56:$K$345,9,0)&amp;""</f>
        <v>Standard Importance</v>
      </c>
      <c r="J71" s="315" t="str">
        <f>VLOOKUP($A71,'Institution Evaluation'!$A$56:$K$345,10,0)&amp;""</f>
        <v/>
      </c>
      <c r="K71" s="315">
        <f>IF($I71='Auto Responses'!$J$11,20,IF($I71='Auto Responses'!$J$13,5,10))</f>
        <v>10</v>
      </c>
      <c r="L71" s="284">
        <f>IF($E71='Auto Responses'!$L$13, 'Auto Responses'!$J$5,IF(AND($D71='Auto Responses'!$J$27,$H71=""),'Auto Responses'!$J$5,IF(AND($D71='Auto Responses'!$J$27,$H71='Auto Responses'!$J$7),1,IF(AND($D71='Auto Responses'!$J$27,$H71='Auto Responses'!$J$8),0,IF(OR(AND($F71=$G71,$H71=""),$H71='Auto Responses'!$J$7),1,0)))))</f>
        <v>0</v>
      </c>
      <c r="M71" s="315" t="str">
        <f>VLOOKUP($A71,'Institution Evaluation'!$A$56:$K$345,11,0)&amp;""</f>
        <v>FALSCH</v>
      </c>
      <c r="N71" s="315">
        <f>IF($J71='Auto Responses'!$J$11,1,IF(AND($J71="",$I71='Auto Responses'!$J$11),1,0))</f>
        <v>0</v>
      </c>
      <c r="O71" s="284" t="str">
        <f>IF(OR($F$17='Auto Responses'!$J$4,$E71='Auto Responses'!$L$13,$F71='Auto Responses'!$J$5),'Auto Responses'!$J$5,IF($J71="",$K71,IF($J71='Auto Responses'!$J$13,5,IF($J71='Auto Responses'!$J$12,10,IF($J71='Auto Responses'!$J$11,20,0)))))</f>
        <v>N/A</v>
      </c>
      <c r="P71" s="284" t="str">
        <f>IF(OR($O71='Auto Responses'!$J$5,$L71='Auto Responses'!$J$5),'Auto Responses'!$J$5,$O71*$L71)</f>
        <v>N/A</v>
      </c>
      <c r="Q71" s="284">
        <f t="shared" si="8"/>
        <v>0</v>
      </c>
      <c r="R71" s="284">
        <f t="shared" si="12"/>
        <v>0</v>
      </c>
      <c r="S71" s="284">
        <f t="shared" si="9"/>
        <v>0</v>
      </c>
      <c r="T71" s="284">
        <f t="shared" si="10"/>
        <v>0</v>
      </c>
      <c r="U71" s="284">
        <f t="shared" si="13"/>
        <v>21</v>
      </c>
      <c r="V71" s="284">
        <f t="shared" si="11"/>
        <v>0</v>
      </c>
    </row>
    <row r="72" spans="1:22" ht="55.5" customHeight="1" x14ac:dyDescent="0.2">
      <c r="A72" s="315" t="str">
        <f>Questions!$A72</f>
        <v>APPL-09</v>
      </c>
      <c r="B72" s="315" t="str">
        <f t="shared" si="7"/>
        <v>APPL</v>
      </c>
      <c r="C72" s="315" t="str">
        <f>VLOOKUP($A72,Questions!$A$3:$L$333,2,0)&amp;""</f>
        <v>Does the system provide data input validation and error messages?</v>
      </c>
      <c r="D72" s="315" t="str">
        <f>VLOOKUP($A72,Questions!$A$3:$L$333,11,0)&amp;""</f>
        <v/>
      </c>
      <c r="E72" s="315" t="str">
        <f>VLOOKUP($A72,Questions!$A$3:$L$333,12,0)&amp;""</f>
        <v>Infrastructure</v>
      </c>
      <c r="F72" s="315" t="str">
        <f>VLOOKUP($A72,'Institution Evaluation'!$A$56:$K$345,3,0)&amp;""</f>
        <v>N/A</v>
      </c>
      <c r="G72" s="315" t="str">
        <f>VLOOKUP($A72,'Institution Evaluation'!$A$56:$K$345,7,0)&amp;""</f>
        <v>Yes</v>
      </c>
      <c r="H72" s="315" t="str">
        <f>VLOOKUP($A72,'Institution Evaluation'!$A$56:$K$345,8,0)&amp;""</f>
        <v/>
      </c>
      <c r="I72" s="315" t="str">
        <f>VLOOKUP($A72,'Institution Evaluation'!$A$56:$K$345,9,0)&amp;""</f>
        <v>Standard Importance</v>
      </c>
      <c r="J72" s="315" t="str">
        <f>VLOOKUP($A72,'Institution Evaluation'!$A$56:$K$345,10,0)&amp;""</f>
        <v/>
      </c>
      <c r="K72" s="315">
        <f>IF($I72='Auto Responses'!$J$11,20,IF($I72='Auto Responses'!$J$13,5,10))</f>
        <v>10</v>
      </c>
      <c r="L72" s="284">
        <f>IF($E72='Auto Responses'!$L$13, 'Auto Responses'!$J$5,IF(AND($D72='Auto Responses'!$J$27,$H72=""),'Auto Responses'!$J$5,IF(AND($D72='Auto Responses'!$J$27,$H72='Auto Responses'!$J$7),1,IF(AND($D72='Auto Responses'!$J$27,$H72='Auto Responses'!$J$8),0,IF(OR(AND($F72=$G72,$H72=""),$H72='Auto Responses'!$J$7),1,0)))))</f>
        <v>0</v>
      </c>
      <c r="M72" s="315" t="str">
        <f>VLOOKUP($A72,'Institution Evaluation'!$A$56:$K$345,11,0)&amp;""</f>
        <v>FALSCH</v>
      </c>
      <c r="N72" s="315">
        <f>IF($J72='Auto Responses'!$J$11,1,IF(AND($J72="",$I72='Auto Responses'!$J$11),1,0))</f>
        <v>0</v>
      </c>
      <c r="O72" s="284" t="str">
        <f>IF(OR($F$17='Auto Responses'!$J$4,$E72='Auto Responses'!$L$13,$F72='Auto Responses'!$J$5),'Auto Responses'!$J$5,IF($J72="",$K72,IF($J72='Auto Responses'!$J$13,5,IF($J72='Auto Responses'!$J$12,10,IF($J72='Auto Responses'!$J$11,20,0)))))</f>
        <v>N/A</v>
      </c>
      <c r="P72" s="284" t="str">
        <f>IF(OR($O72='Auto Responses'!$J$5,$L72='Auto Responses'!$J$5),'Auto Responses'!$J$5,$O72*$L72)</f>
        <v>N/A</v>
      </c>
      <c r="Q72" s="284">
        <f t="shared" si="8"/>
        <v>0</v>
      </c>
      <c r="R72" s="284">
        <f t="shared" si="12"/>
        <v>0</v>
      </c>
      <c r="S72" s="284">
        <f t="shared" si="9"/>
        <v>0</v>
      </c>
      <c r="T72" s="284">
        <f t="shared" si="10"/>
        <v>0</v>
      </c>
      <c r="U72" s="284">
        <f t="shared" si="13"/>
        <v>21</v>
      </c>
      <c r="V72" s="284">
        <f t="shared" si="11"/>
        <v>0</v>
      </c>
    </row>
    <row r="73" spans="1:22" ht="55.5" customHeight="1" x14ac:dyDescent="0.2">
      <c r="A73" s="315" t="str">
        <f>Questions!$A73</f>
        <v>APPL-10</v>
      </c>
      <c r="B73" s="315" t="str">
        <f t="shared" si="7"/>
        <v>APPL</v>
      </c>
      <c r="C73" s="315" t="str">
        <f>VLOOKUP($A73,Questions!$A$3:$L$333,2,0)&amp;""</f>
        <v>Do you have a process and implemented procedures for managing your software supply chain (e.g., libraries, repositories, frameworks, etc.)?</v>
      </c>
      <c r="D73" s="315" t="str">
        <f>VLOOKUP($A73,Questions!$A$3:$L$333,11,0)&amp;""</f>
        <v/>
      </c>
      <c r="E73" s="315" t="str">
        <f>VLOOKUP($A73,Questions!$A$3:$L$333,12,0)&amp;""</f>
        <v>Infrastructure</v>
      </c>
      <c r="F73" s="315" t="str">
        <f>VLOOKUP($A73,'Institution Evaluation'!$A$56:$K$345,3,0)&amp;""</f>
        <v>N/A</v>
      </c>
      <c r="G73" s="315" t="str">
        <f>VLOOKUP($A73,'Institution Evaluation'!$A$56:$K$345,7,0)&amp;""</f>
        <v>Yes</v>
      </c>
      <c r="H73" s="315" t="str">
        <f>VLOOKUP($A73,'Institution Evaluation'!$A$56:$K$345,8,0)&amp;""</f>
        <v/>
      </c>
      <c r="I73" s="315" t="str">
        <f>VLOOKUP($A73,'Institution Evaluation'!$A$56:$K$345,9,0)&amp;""</f>
        <v>Standard Importance</v>
      </c>
      <c r="J73" s="315" t="str">
        <f>VLOOKUP($A73,'Institution Evaluation'!$A$56:$K$345,10,0)&amp;""</f>
        <v/>
      </c>
      <c r="K73" s="315">
        <f>IF($I73='Auto Responses'!$J$11,20,IF($I73='Auto Responses'!$J$13,5,10))</f>
        <v>10</v>
      </c>
      <c r="L73" s="284">
        <f>IF($E73='Auto Responses'!$L$13, 'Auto Responses'!$J$5,IF(AND($D73='Auto Responses'!$J$27,$H73=""),'Auto Responses'!$J$5,IF(AND($D73='Auto Responses'!$J$27,$H73='Auto Responses'!$J$7),1,IF(AND($D73='Auto Responses'!$J$27,$H73='Auto Responses'!$J$8),0,IF(OR(AND($F73=$G73,$H73=""),$H73='Auto Responses'!$J$7),1,0)))))</f>
        <v>0</v>
      </c>
      <c r="M73" s="315" t="str">
        <f>VLOOKUP($A73,'Institution Evaluation'!$A$56:$K$345,11,0)&amp;""</f>
        <v>FALSCH</v>
      </c>
      <c r="N73" s="315">
        <f>IF($J73='Auto Responses'!$J$11,1,IF(AND($J73="",$I73='Auto Responses'!$J$11),1,0))</f>
        <v>0</v>
      </c>
      <c r="O73" s="284" t="str">
        <f>IF(OR($F$17='Auto Responses'!$J$4,$E73='Auto Responses'!$L$13,$F73='Auto Responses'!$J$5),'Auto Responses'!$J$5,IF($J73="",$K73,IF($J73='Auto Responses'!$J$13,5,IF($J73='Auto Responses'!$J$12,10,IF($J73='Auto Responses'!$J$11,20,0)))))</f>
        <v>N/A</v>
      </c>
      <c r="P73" s="284" t="str">
        <f>IF(OR($O73='Auto Responses'!$J$5,$L73='Auto Responses'!$J$5),'Auto Responses'!$J$5,$O73*$L73)</f>
        <v>N/A</v>
      </c>
      <c r="Q73" s="284">
        <f t="shared" si="8"/>
        <v>0</v>
      </c>
      <c r="R73" s="284">
        <f t="shared" si="12"/>
        <v>0</v>
      </c>
      <c r="S73" s="284">
        <f t="shared" si="9"/>
        <v>0</v>
      </c>
      <c r="T73" s="284">
        <f t="shared" si="10"/>
        <v>0</v>
      </c>
      <c r="U73" s="284">
        <f t="shared" si="13"/>
        <v>21</v>
      </c>
      <c r="V73" s="284">
        <f t="shared" si="11"/>
        <v>0</v>
      </c>
    </row>
    <row r="74" spans="1:22" ht="55.5" customHeight="1" x14ac:dyDescent="0.2">
      <c r="A74" s="315" t="str">
        <f>Questions!$A74</f>
        <v>APPL-11</v>
      </c>
      <c r="B74" s="315" t="str">
        <f t="shared" si="7"/>
        <v>APPL</v>
      </c>
      <c r="C74" s="315" t="str">
        <f>VLOOKUP($A74,Questions!$A$3:$L$333,2,0)&amp;""</f>
        <v>Have your developers been trained in secure coding techniques?</v>
      </c>
      <c r="D74" s="315" t="str">
        <f>VLOOKUP($A74,Questions!$A$3:$L$333,11,0)&amp;""</f>
        <v/>
      </c>
      <c r="E74" s="315" t="str">
        <f>VLOOKUP($A74,Questions!$A$3:$L$333,12,0)&amp;""</f>
        <v>Infrastructure</v>
      </c>
      <c r="F74" s="315" t="str">
        <f>VLOOKUP($A74,'Institution Evaluation'!$A$56:$K$345,3,0)&amp;""</f>
        <v>N/A</v>
      </c>
      <c r="G74" s="315" t="str">
        <f>VLOOKUP($A74,'Institution Evaluation'!$A$56:$K$345,7,0)&amp;""</f>
        <v>Yes</v>
      </c>
      <c r="H74" s="315" t="str">
        <f>VLOOKUP($A74,'Institution Evaluation'!$A$56:$K$345,8,0)&amp;""</f>
        <v/>
      </c>
      <c r="I74" s="315" t="str">
        <f>VLOOKUP($A74,'Institution Evaluation'!$A$56:$K$345,9,0)&amp;""</f>
        <v>Standard Importance</v>
      </c>
      <c r="J74" s="315" t="str">
        <f>VLOOKUP($A74,'Institution Evaluation'!$A$56:$K$345,10,0)&amp;""</f>
        <v/>
      </c>
      <c r="K74" s="315">
        <f>IF($I74='Auto Responses'!$J$11,20,IF($I74='Auto Responses'!$J$13,5,10))</f>
        <v>10</v>
      </c>
      <c r="L74" s="284">
        <f>IF($E74='Auto Responses'!$L$13, 'Auto Responses'!$J$5,IF(AND($D74='Auto Responses'!$J$27,$H74=""),'Auto Responses'!$J$5,IF(AND($D74='Auto Responses'!$J$27,$H74='Auto Responses'!$J$7),1,IF(AND($D74='Auto Responses'!$J$27,$H74='Auto Responses'!$J$8),0,IF(OR(AND($F74=$G74,$H74=""),$H74='Auto Responses'!$J$7),1,0)))))</f>
        <v>0</v>
      </c>
      <c r="M74" s="315" t="str">
        <f>VLOOKUP($A74,'Institution Evaluation'!$A$56:$K$345,11,0)&amp;""</f>
        <v>FALSCH</v>
      </c>
      <c r="N74" s="315">
        <f>IF($J74='Auto Responses'!$J$11,1,IF(AND($J74="",$I74='Auto Responses'!$J$11),1,0))</f>
        <v>0</v>
      </c>
      <c r="O74" s="284" t="str">
        <f>IF(OR($F$17='Auto Responses'!$J$4,$E74='Auto Responses'!$L$13,$F74='Auto Responses'!$J$5),'Auto Responses'!$J$5,IF($J74="",$K74,IF($J74='Auto Responses'!$J$13,5,IF($J74='Auto Responses'!$J$12,10,IF($J74='Auto Responses'!$J$11,20,0)))))</f>
        <v>N/A</v>
      </c>
      <c r="P74" s="284" t="str">
        <f>IF(OR($O74='Auto Responses'!$J$5,$L74='Auto Responses'!$J$5),'Auto Responses'!$J$5,$O74*$L74)</f>
        <v>N/A</v>
      </c>
      <c r="Q74" s="284">
        <f t="shared" si="8"/>
        <v>0</v>
      </c>
      <c r="R74" s="284">
        <f t="shared" si="12"/>
        <v>0</v>
      </c>
      <c r="S74" s="284">
        <f t="shared" si="9"/>
        <v>0</v>
      </c>
      <c r="T74" s="284">
        <f t="shared" si="10"/>
        <v>0</v>
      </c>
      <c r="U74" s="284">
        <f t="shared" si="13"/>
        <v>21</v>
      </c>
      <c r="V74" s="284">
        <f t="shared" si="11"/>
        <v>0</v>
      </c>
    </row>
    <row r="75" spans="1:22" ht="55.5" customHeight="1" x14ac:dyDescent="0.2">
      <c r="A75" s="315" t="str">
        <f>Questions!$A75</f>
        <v>APPL-12</v>
      </c>
      <c r="B75" s="315" t="str">
        <f t="shared" si="7"/>
        <v>APPL</v>
      </c>
      <c r="C75" s="315" t="str">
        <f>VLOOKUP($A75,Questions!$A$3:$L$333,2,0)&amp;""</f>
        <v>Was your application developed using secure coding techniques?</v>
      </c>
      <c r="D75" s="315" t="str">
        <f>VLOOKUP($A75,Questions!$A$3:$L$333,11,0)&amp;""</f>
        <v/>
      </c>
      <c r="E75" s="315" t="str">
        <f>VLOOKUP($A75,Questions!$A$3:$L$333,12,0)&amp;""</f>
        <v>Infrastructure</v>
      </c>
      <c r="F75" s="315" t="str">
        <f>VLOOKUP($A75,'Institution Evaluation'!$A$56:$K$345,3,0)&amp;""</f>
        <v>N/A</v>
      </c>
      <c r="G75" s="315" t="str">
        <f>VLOOKUP($A75,'Institution Evaluation'!$A$56:$K$345,7,0)&amp;""</f>
        <v>Yes</v>
      </c>
      <c r="H75" s="315" t="str">
        <f>VLOOKUP($A75,'Institution Evaluation'!$A$56:$K$345,8,0)&amp;""</f>
        <v/>
      </c>
      <c r="I75" s="315" t="str">
        <f>VLOOKUP($A75,'Institution Evaluation'!$A$56:$K$345,9,0)&amp;""</f>
        <v>Standard Importance</v>
      </c>
      <c r="J75" s="315" t="str">
        <f>VLOOKUP($A75,'Institution Evaluation'!$A$56:$K$345,10,0)&amp;""</f>
        <v/>
      </c>
      <c r="K75" s="315">
        <f>IF($I75='Auto Responses'!$J$11,20,IF($I75='Auto Responses'!$J$13,5,10))</f>
        <v>10</v>
      </c>
      <c r="L75" s="284">
        <f>IF($E75='Auto Responses'!$L$13, 'Auto Responses'!$J$5,IF(AND($D75='Auto Responses'!$J$27,$H75=""),'Auto Responses'!$J$5,IF(AND($D75='Auto Responses'!$J$27,$H75='Auto Responses'!$J$7),1,IF(AND($D75='Auto Responses'!$J$27,$H75='Auto Responses'!$J$8),0,IF(OR(AND($F75=$G75,$H75=""),$H75='Auto Responses'!$J$7),1,0)))))</f>
        <v>0</v>
      </c>
      <c r="M75" s="315" t="str">
        <f>VLOOKUP($A75,'Institution Evaluation'!$A$56:$K$345,11,0)&amp;""</f>
        <v>FALSCH</v>
      </c>
      <c r="N75" s="315">
        <f>IF($J75='Auto Responses'!$J$11,1,IF(AND($J75="",$I75='Auto Responses'!$J$11),1,0))</f>
        <v>0</v>
      </c>
      <c r="O75" s="284" t="str">
        <f>IF(OR($F$17='Auto Responses'!$J$4,$E75='Auto Responses'!$L$13,$F75='Auto Responses'!$J$5),'Auto Responses'!$J$5,IF($J75="",$K75,IF($J75='Auto Responses'!$J$13,5,IF($J75='Auto Responses'!$J$12,10,IF($J75='Auto Responses'!$J$11,20,0)))))</f>
        <v>N/A</v>
      </c>
      <c r="P75" s="284" t="str">
        <f>IF(OR($O75='Auto Responses'!$J$5,$L75='Auto Responses'!$J$5),'Auto Responses'!$J$5,$O75*$L75)</f>
        <v>N/A</v>
      </c>
      <c r="Q75" s="284">
        <f t="shared" si="8"/>
        <v>0</v>
      </c>
      <c r="R75" s="284">
        <f t="shared" si="12"/>
        <v>0</v>
      </c>
      <c r="S75" s="284">
        <f t="shared" si="9"/>
        <v>0</v>
      </c>
      <c r="T75" s="284">
        <f t="shared" si="10"/>
        <v>0</v>
      </c>
      <c r="U75" s="284">
        <f t="shared" si="13"/>
        <v>21</v>
      </c>
      <c r="V75" s="284">
        <f t="shared" si="11"/>
        <v>0</v>
      </c>
    </row>
    <row r="76" spans="1:22" ht="55.5" customHeight="1" x14ac:dyDescent="0.2">
      <c r="A76" s="315" t="str">
        <f>Questions!$A76</f>
        <v>APPL-13</v>
      </c>
      <c r="B76" s="315" t="str">
        <f t="shared" si="7"/>
        <v>APPL</v>
      </c>
      <c r="C76" s="315" t="str">
        <f>VLOOKUP($A76,Questions!$A$3:$L$333,2,0)&amp;""</f>
        <v>If mobile, is the application available from a trusted source (e.g., App Store, Google Play Store)?</v>
      </c>
      <c r="D76" s="315" t="str">
        <f>VLOOKUP($A76,Questions!$A$3:$L$333,11,0)&amp;""</f>
        <v/>
      </c>
      <c r="E76" s="315" t="str">
        <f>VLOOKUP($A76,Questions!$A$3:$L$333,12,0)&amp;""</f>
        <v>Infrastructure</v>
      </c>
      <c r="F76" s="315" t="str">
        <f>VLOOKUP($A76,'Institution Evaluation'!$A$56:$K$345,3,0)&amp;""</f>
        <v>N/A</v>
      </c>
      <c r="G76" s="315" t="str">
        <f>VLOOKUP($A76,'Institution Evaluation'!$A$56:$K$345,7,0)&amp;""</f>
        <v>Yes</v>
      </c>
      <c r="H76" s="315" t="str">
        <f>VLOOKUP($A76,'Institution Evaluation'!$A$56:$K$345,8,0)&amp;""</f>
        <v/>
      </c>
      <c r="I76" s="315" t="str">
        <f>VLOOKUP($A76,'Institution Evaluation'!$A$56:$K$345,9,0)&amp;""</f>
        <v>Minor Importance</v>
      </c>
      <c r="J76" s="315" t="str">
        <f>VLOOKUP($A76,'Institution Evaluation'!$A$56:$K$345,10,0)&amp;""</f>
        <v/>
      </c>
      <c r="K76" s="315">
        <f>IF($I76='Auto Responses'!$J$11,20,IF($I76='Auto Responses'!$J$13,5,10))</f>
        <v>5</v>
      </c>
      <c r="L76" s="284">
        <f>IF($E76='Auto Responses'!$L$13, 'Auto Responses'!$J$5,IF(AND($D76='Auto Responses'!$J$27,$H76=""),'Auto Responses'!$J$5,IF(AND($D76='Auto Responses'!$J$27,$H76='Auto Responses'!$J$7),1,IF(AND($D76='Auto Responses'!$J$27,$H76='Auto Responses'!$J$8),0,IF(OR(AND($F76=$G76,$H76=""),$H76='Auto Responses'!$J$7),1,0)))))</f>
        <v>0</v>
      </c>
      <c r="M76" s="315" t="str">
        <f>VLOOKUP($A76,'Institution Evaluation'!$A$56:$K$345,11,0)&amp;""</f>
        <v>FALSCH</v>
      </c>
      <c r="N76" s="315">
        <f>IF($J76='Auto Responses'!$J$11,1,IF(AND($J76="",$I76='Auto Responses'!$J$11),1,0))</f>
        <v>0</v>
      </c>
      <c r="O76" s="284" t="str">
        <f>IF(OR($F$17='Auto Responses'!$J$4,$E76='Auto Responses'!$L$13,$F76='Auto Responses'!$J$5),'Auto Responses'!$J$5,IF($J76="",$K76,IF($J76='Auto Responses'!$J$13,5,IF($J76='Auto Responses'!$J$12,10,IF($J76='Auto Responses'!$J$11,20,0)))))</f>
        <v>N/A</v>
      </c>
      <c r="P76" s="284" t="str">
        <f>IF(OR($O76='Auto Responses'!$J$5,$L76='Auto Responses'!$J$5),'Auto Responses'!$J$5,$O76*$L76)</f>
        <v>N/A</v>
      </c>
      <c r="Q76" s="284">
        <f t="shared" si="8"/>
        <v>0</v>
      </c>
      <c r="R76" s="284">
        <f t="shared" si="12"/>
        <v>0</v>
      </c>
      <c r="S76" s="284">
        <f t="shared" si="9"/>
        <v>0</v>
      </c>
      <c r="T76" s="284">
        <f t="shared" si="10"/>
        <v>0</v>
      </c>
      <c r="U76" s="284">
        <f t="shared" si="13"/>
        <v>21</v>
      </c>
      <c r="V76" s="284">
        <f t="shared" si="11"/>
        <v>0</v>
      </c>
    </row>
    <row r="77" spans="1:22" ht="55.5" customHeight="1" x14ac:dyDescent="0.2">
      <c r="A77" s="315" t="str">
        <f>Questions!$A77</f>
        <v>APPL-14</v>
      </c>
      <c r="B77" s="315" t="str">
        <f t="shared" si="7"/>
        <v>APPL</v>
      </c>
      <c r="C77" s="315" t="str">
        <f>VLOOKUP($A77,Questions!$A$3:$L$333,2,0)&amp;""</f>
        <v>Do you have a fully implemented policy or procedure that details how your employees obtain administrator access to institutional instance of the application?</v>
      </c>
      <c r="D77" s="315" t="str">
        <f>VLOOKUP($A77,Questions!$A$3:$L$333,11,0)&amp;""</f>
        <v/>
      </c>
      <c r="E77" s="315" t="str">
        <f>VLOOKUP($A77,Questions!$A$3:$L$333,12,0)&amp;""</f>
        <v>Infrastructure</v>
      </c>
      <c r="F77" s="315" t="str">
        <f>VLOOKUP($A77,'Institution Evaluation'!$A$56:$K$345,3,0)&amp;""</f>
        <v>N/A</v>
      </c>
      <c r="G77" s="315" t="str">
        <f>VLOOKUP($A77,'Institution Evaluation'!$A$56:$K$345,7,0)&amp;""</f>
        <v>Yes</v>
      </c>
      <c r="H77" s="315" t="str">
        <f>VLOOKUP($A77,'Institution Evaluation'!$A$56:$K$345,8,0)&amp;""</f>
        <v/>
      </c>
      <c r="I77" s="315" t="str">
        <f>VLOOKUP($A77,'Institution Evaluation'!$A$56:$K$345,9,0)&amp;""</f>
        <v>Minor Importance</v>
      </c>
      <c r="J77" s="315" t="str">
        <f>VLOOKUP($A77,'Institution Evaluation'!$A$56:$K$345,10,0)&amp;""</f>
        <v/>
      </c>
      <c r="K77" s="315">
        <f>IF($I77='Auto Responses'!$J$11,20,IF($I77='Auto Responses'!$J$13,5,10))</f>
        <v>5</v>
      </c>
      <c r="L77" s="284">
        <f>IF($E77='Auto Responses'!$L$13, 'Auto Responses'!$J$5,IF(AND($D77='Auto Responses'!$J$27,$H77=""),'Auto Responses'!$J$5,IF(AND($D77='Auto Responses'!$J$27,$H77='Auto Responses'!$J$7),1,IF(AND($D77='Auto Responses'!$J$27,$H77='Auto Responses'!$J$8),0,IF(OR(AND($F77=$G77,$H77=""),$H77='Auto Responses'!$J$7),1,0)))))</f>
        <v>0</v>
      </c>
      <c r="M77" s="315" t="str">
        <f>VLOOKUP($A77,'Institution Evaluation'!$A$56:$K$345,11,0)&amp;""</f>
        <v>FALSCH</v>
      </c>
      <c r="N77" s="315">
        <f>IF($J77='Auto Responses'!$J$11,1,IF(AND($J77="",$I77='Auto Responses'!$J$11),1,0))</f>
        <v>0</v>
      </c>
      <c r="O77" s="284" t="str">
        <f>IF(OR($F$17='Auto Responses'!$J$4,$E77='Auto Responses'!$L$13,$F77='Auto Responses'!$J$5),'Auto Responses'!$J$5,IF($J77="",$K77,IF($J77='Auto Responses'!$J$13,5,IF($J77='Auto Responses'!$J$12,10,IF($J77='Auto Responses'!$J$11,20,0)))))</f>
        <v>N/A</v>
      </c>
      <c r="P77" s="284" t="str">
        <f>IF(OR($O77='Auto Responses'!$J$5,$L77='Auto Responses'!$J$5),'Auto Responses'!$J$5,$O77*$L77)</f>
        <v>N/A</v>
      </c>
      <c r="Q77" s="284">
        <f t="shared" si="8"/>
        <v>0</v>
      </c>
      <c r="R77" s="284">
        <f t="shared" si="12"/>
        <v>0</v>
      </c>
      <c r="S77" s="284">
        <f t="shared" si="9"/>
        <v>0</v>
      </c>
      <c r="T77" s="284">
        <f t="shared" si="10"/>
        <v>0</v>
      </c>
      <c r="U77" s="284">
        <f t="shared" si="13"/>
        <v>21</v>
      </c>
      <c r="V77" s="284">
        <f t="shared" si="11"/>
        <v>0</v>
      </c>
    </row>
    <row r="78" spans="1:22" ht="55.5" customHeight="1" x14ac:dyDescent="0.2">
      <c r="A78" s="315" t="str">
        <f>Questions!$A78</f>
        <v>AAAI-01</v>
      </c>
      <c r="B78" s="315" t="str">
        <f t="shared" si="7"/>
        <v>AAAI</v>
      </c>
      <c r="C78" s="315" t="str">
        <f>VLOOKUP($A78,Questions!$A$3:$L$333,2,0)&amp;""</f>
        <v>Does your solution support single sign-on (SSO) protocols for user and administrator authentication?*</v>
      </c>
      <c r="D78" s="315" t="str">
        <f>VLOOKUP($A78,Questions!$A$3:$L$333,11,0)&amp;""</f>
        <v/>
      </c>
      <c r="E78" s="315" t="str">
        <f>VLOOKUP($A78,Questions!$A$3:$L$333,12,0)&amp;""</f>
        <v>Product</v>
      </c>
      <c r="F78" s="315" t="str">
        <f>VLOOKUP($A78,'Institution Evaluation'!$A$56:$K$345,3,0)&amp;""</f>
        <v>N/A</v>
      </c>
      <c r="G78" s="315" t="str">
        <f>VLOOKUP($A78,'Institution Evaluation'!$A$56:$K$345,7,0)&amp;""</f>
        <v>Yes</v>
      </c>
      <c r="H78" s="315" t="str">
        <f>VLOOKUP($A78,'Institution Evaluation'!$A$56:$K$345,8,0)&amp;""</f>
        <v/>
      </c>
      <c r="I78" s="315" t="str">
        <f>VLOOKUP($A78,'Institution Evaluation'!$A$56:$K$345,9,0)&amp;""</f>
        <v>Critical Importance</v>
      </c>
      <c r="J78" s="315" t="str">
        <f>VLOOKUP($A78,'Institution Evaluation'!$A$56:$K$345,10,0)&amp;""</f>
        <v/>
      </c>
      <c r="K78" s="315">
        <f>IF($I78='Auto Responses'!$J$11,20,IF($I78='Auto Responses'!$J$13,5,10))</f>
        <v>20</v>
      </c>
      <c r="L78" s="284">
        <f>IF($E78='Auto Responses'!$L$13, 'Auto Responses'!$J$5,IF(AND($D78='Auto Responses'!$J$27,$H78=""),'Auto Responses'!$J$5,IF(AND($D78='Auto Responses'!$J$27,$H78='Auto Responses'!$J$7),1,IF(AND($D78='Auto Responses'!$J$27,$H78='Auto Responses'!$J$8),0,IF(OR(AND($F78=$G78,$H78=""),$H78='Auto Responses'!$J$7),1,0)))))</f>
        <v>0</v>
      </c>
      <c r="M78" s="315" t="str">
        <f>VLOOKUP($A78,'Institution Evaluation'!$A$56:$K$345,11,0)&amp;""</f>
        <v>FALSCH</v>
      </c>
      <c r="N78" s="315">
        <f>IF($J78='Auto Responses'!$J$11,1,IF(AND($J78="",$I78='Auto Responses'!$J$11),1,0))</f>
        <v>1</v>
      </c>
      <c r="O78" s="284" t="str">
        <f>IF(OR($F$17='Auto Responses'!$J$4,$E78='Auto Responses'!$L$13,$F78='Auto Responses'!$J$5),'Auto Responses'!$J$5,IF($J78="",$K78,IF($J78='Auto Responses'!$J$13,5,IF($J78='Auto Responses'!$J$12,10,IF($J78='Auto Responses'!$J$11,20,0)))))</f>
        <v>N/A</v>
      </c>
      <c r="P78" s="284" t="str">
        <f>IF(OR($O78='Auto Responses'!$J$5,$L78='Auto Responses'!$J$5),'Auto Responses'!$J$5,$O78*$L78)</f>
        <v>N/A</v>
      </c>
      <c r="Q78" s="284">
        <f t="shared" si="8"/>
        <v>0</v>
      </c>
      <c r="R78" s="284">
        <f t="shared" si="12"/>
        <v>0</v>
      </c>
      <c r="S78" s="284">
        <f t="shared" si="9"/>
        <v>0</v>
      </c>
      <c r="T78" s="284">
        <f t="shared" si="10"/>
        <v>1</v>
      </c>
      <c r="U78" s="284">
        <f t="shared" si="13"/>
        <v>22</v>
      </c>
      <c r="V78" s="284">
        <f t="shared" si="11"/>
        <v>22</v>
      </c>
    </row>
    <row r="79" spans="1:22" ht="55.5" customHeight="1" x14ac:dyDescent="0.2">
      <c r="A79" s="315" t="str">
        <f>Questions!$A79</f>
        <v>AAAI-02</v>
      </c>
      <c r="B79" s="315" t="str">
        <f t="shared" si="7"/>
        <v>AAAI</v>
      </c>
      <c r="C79" s="315" t="str">
        <f>VLOOKUP($A79,Questions!$A$3:$L$333,2,0)&amp;""</f>
        <v>For customers not using SSO, does your solution support local authentication protocols for user and administrator authentication?*</v>
      </c>
      <c r="D79" s="315" t="str">
        <f>VLOOKUP($A79,Questions!$A$3:$L$333,11,0)&amp;""</f>
        <v/>
      </c>
      <c r="E79" s="315" t="str">
        <f>VLOOKUP($A79,Questions!$A$3:$L$333,12,0)&amp;""</f>
        <v>Product</v>
      </c>
      <c r="F79" s="315" t="str">
        <f>VLOOKUP($A79,'Institution Evaluation'!$A$56:$K$345,3,0)&amp;""</f>
        <v>N/A</v>
      </c>
      <c r="G79" s="315" t="str">
        <f>VLOOKUP($A79,'Institution Evaluation'!$A$56:$K$345,7,0)&amp;""</f>
        <v>Yes</v>
      </c>
      <c r="H79" s="315" t="str">
        <f>VLOOKUP($A79,'Institution Evaluation'!$A$56:$K$345,8,0)&amp;""</f>
        <v/>
      </c>
      <c r="I79" s="315" t="str">
        <f>VLOOKUP($A79,'Institution Evaluation'!$A$56:$K$345,9,0)&amp;""</f>
        <v>Critical Importance</v>
      </c>
      <c r="J79" s="315" t="str">
        <f>VLOOKUP($A79,'Institution Evaluation'!$A$56:$K$345,10,0)&amp;""</f>
        <v/>
      </c>
      <c r="K79" s="315">
        <f>IF($I79='Auto Responses'!$J$11,20,IF($I79='Auto Responses'!$J$13,5,10))</f>
        <v>20</v>
      </c>
      <c r="L79" s="284">
        <f>IF($E79='Auto Responses'!$L$13, 'Auto Responses'!$J$5,IF(AND($D79='Auto Responses'!$J$27,$H79=""),'Auto Responses'!$J$5,IF(AND($D79='Auto Responses'!$J$27,$H79='Auto Responses'!$J$7),1,IF(AND($D79='Auto Responses'!$J$27,$H79='Auto Responses'!$J$8),0,IF(OR(AND($F79=$G79,$H79=""),$H79='Auto Responses'!$J$7),1,0)))))</f>
        <v>0</v>
      </c>
      <c r="M79" s="315" t="str">
        <f>VLOOKUP($A79,'Institution Evaluation'!$A$56:$K$345,11,0)&amp;""</f>
        <v>FALSCH</v>
      </c>
      <c r="N79" s="315">
        <f>IF($J79='Auto Responses'!$J$11,1,IF(AND($J79="",$I79='Auto Responses'!$J$11),1,0))</f>
        <v>1</v>
      </c>
      <c r="O79" s="284" t="str">
        <f>IF(OR($F$17='Auto Responses'!$J$4,$E79='Auto Responses'!$L$13,$F79='Auto Responses'!$J$5),'Auto Responses'!$J$5,IF($J79="",$K79,IF($J79='Auto Responses'!$J$13,5,IF($J79='Auto Responses'!$J$12,10,IF($J79='Auto Responses'!$J$11,20,0)))))</f>
        <v>N/A</v>
      </c>
      <c r="P79" s="284" t="str">
        <f>IF(OR($O79='Auto Responses'!$J$5,$L79='Auto Responses'!$J$5),'Auto Responses'!$J$5,$O79*$L79)</f>
        <v>N/A</v>
      </c>
      <c r="Q79" s="284">
        <f t="shared" si="8"/>
        <v>0</v>
      </c>
      <c r="R79" s="284">
        <f t="shared" si="12"/>
        <v>0</v>
      </c>
      <c r="S79" s="284">
        <f t="shared" si="9"/>
        <v>0</v>
      </c>
      <c r="T79" s="284">
        <f t="shared" si="10"/>
        <v>1</v>
      </c>
      <c r="U79" s="284">
        <f t="shared" si="13"/>
        <v>23</v>
      </c>
      <c r="V79" s="284">
        <f t="shared" si="11"/>
        <v>23</v>
      </c>
    </row>
    <row r="80" spans="1:22" ht="55.5" customHeight="1" x14ac:dyDescent="0.2">
      <c r="A80" s="315" t="str">
        <f>Questions!$A80</f>
        <v>AAAI-03</v>
      </c>
      <c r="B80" s="315" t="str">
        <f t="shared" si="7"/>
        <v>AAAI</v>
      </c>
      <c r="C80" s="315" t="str">
        <f>VLOOKUP($A80,Questions!$A$3:$L$333,2,0)&amp;""</f>
        <v>For customers not using SSO, can you enforce password/passphrase complexity requirements (provided by the institution)?*</v>
      </c>
      <c r="D80" s="315" t="str">
        <f>VLOOKUP($A80,Questions!$A$3:$L$333,11,0)&amp;""</f>
        <v/>
      </c>
      <c r="E80" s="315" t="str">
        <f>VLOOKUP($A80,Questions!$A$3:$L$333,12,0)&amp;""</f>
        <v>Product</v>
      </c>
      <c r="F80" s="315" t="str">
        <f>VLOOKUP($A80,'Institution Evaluation'!$A$56:$K$345,3,0)&amp;""</f>
        <v>N/A</v>
      </c>
      <c r="G80" s="315" t="str">
        <f>VLOOKUP($A80,'Institution Evaluation'!$A$56:$K$345,7,0)&amp;""</f>
        <v>Yes</v>
      </c>
      <c r="H80" s="315" t="str">
        <f>VLOOKUP($A80,'Institution Evaluation'!$A$56:$K$345,8,0)&amp;""</f>
        <v/>
      </c>
      <c r="I80" s="315" t="str">
        <f>VLOOKUP($A80,'Institution Evaluation'!$A$56:$K$345,9,0)&amp;""</f>
        <v>Critical Importance</v>
      </c>
      <c r="J80" s="315" t="str">
        <f>VLOOKUP($A80,'Institution Evaluation'!$A$56:$K$345,10,0)&amp;""</f>
        <v/>
      </c>
      <c r="K80" s="315">
        <f>IF($I80='Auto Responses'!$J$11,20,IF($I80='Auto Responses'!$J$13,5,10))</f>
        <v>20</v>
      </c>
      <c r="L80" s="284">
        <f>IF($E80='Auto Responses'!$L$13, 'Auto Responses'!$J$5,IF(AND($D80='Auto Responses'!$J$27,$H80=""),'Auto Responses'!$J$5,IF(AND($D80='Auto Responses'!$J$27,$H80='Auto Responses'!$J$7),1,IF(AND($D80='Auto Responses'!$J$27,$H80='Auto Responses'!$J$8),0,IF(OR(AND($F80=$G80,$H80=""),$H80='Auto Responses'!$J$7),1,0)))))</f>
        <v>0</v>
      </c>
      <c r="M80" s="315" t="str">
        <f>VLOOKUP($A80,'Institution Evaluation'!$A$56:$K$345,11,0)&amp;""</f>
        <v>FALSCH</v>
      </c>
      <c r="N80" s="315">
        <f>IF($J80='Auto Responses'!$J$11,1,IF(AND($J80="",$I80='Auto Responses'!$J$11),1,0))</f>
        <v>1</v>
      </c>
      <c r="O80" s="284" t="str">
        <f>IF(OR($F$17='Auto Responses'!$J$4,$E80='Auto Responses'!$L$13,$F80='Auto Responses'!$J$5),'Auto Responses'!$J$5,IF($J80="",$K80,IF($J80='Auto Responses'!$J$13,5,IF($J80='Auto Responses'!$J$12,10,IF($J80='Auto Responses'!$J$11,20,0)))))</f>
        <v>N/A</v>
      </c>
      <c r="P80" s="284" t="str">
        <f>IF(OR($O80='Auto Responses'!$J$5,$L80='Auto Responses'!$J$5),'Auto Responses'!$J$5,$O80*$L80)</f>
        <v>N/A</v>
      </c>
      <c r="Q80" s="284">
        <f t="shared" si="8"/>
        <v>0</v>
      </c>
      <c r="R80" s="284">
        <f t="shared" si="12"/>
        <v>0</v>
      </c>
      <c r="S80" s="284">
        <f t="shared" si="9"/>
        <v>0</v>
      </c>
      <c r="T80" s="284">
        <f t="shared" si="10"/>
        <v>1</v>
      </c>
      <c r="U80" s="284">
        <f t="shared" si="13"/>
        <v>24</v>
      </c>
      <c r="V80" s="284">
        <f t="shared" si="11"/>
        <v>24</v>
      </c>
    </row>
    <row r="81" spans="1:22" ht="55.5" customHeight="1" x14ac:dyDescent="0.2">
      <c r="A81" s="315" t="str">
        <f>Questions!$A81</f>
        <v>AAAI-04</v>
      </c>
      <c r="B81" s="315" t="str">
        <f t="shared" si="7"/>
        <v>AAAI</v>
      </c>
      <c r="C81" s="315" t="str">
        <f>VLOOKUP($A81,Questions!$A$3:$L$333,2,0)&amp;""</f>
        <v>For customers not using SSO, does the system have password complexity or length limitations and/or restrictions?*</v>
      </c>
      <c r="D81" s="315" t="str">
        <f>VLOOKUP($A81,Questions!$A$3:$L$333,11,0)&amp;""</f>
        <v/>
      </c>
      <c r="E81" s="315" t="str">
        <f>VLOOKUP($A81,Questions!$A$3:$L$333,12,0)&amp;""</f>
        <v>Product</v>
      </c>
      <c r="F81" s="315" t="str">
        <f>VLOOKUP($A81,'Institution Evaluation'!$A$56:$K$345,3,0)&amp;""</f>
        <v>N/A</v>
      </c>
      <c r="G81" s="315" t="str">
        <f>VLOOKUP($A81,'Institution Evaluation'!$A$56:$K$345,7,0)&amp;""</f>
        <v>No</v>
      </c>
      <c r="H81" s="315" t="str">
        <f>VLOOKUP($A81,'Institution Evaluation'!$A$56:$K$345,8,0)&amp;""</f>
        <v/>
      </c>
      <c r="I81" s="315" t="str">
        <f>VLOOKUP($A81,'Institution Evaluation'!$A$56:$K$345,9,0)&amp;""</f>
        <v>Critical Importance</v>
      </c>
      <c r="J81" s="315" t="str">
        <f>VLOOKUP($A81,'Institution Evaluation'!$A$56:$K$345,10,0)&amp;""</f>
        <v/>
      </c>
      <c r="K81" s="315">
        <f>IF($I81='Auto Responses'!$J$11,20,IF($I81='Auto Responses'!$J$13,5,10))</f>
        <v>20</v>
      </c>
      <c r="L81" s="284">
        <f>IF($E81='Auto Responses'!$L$13, 'Auto Responses'!$J$5,IF(AND($D81='Auto Responses'!$J$27,$H81=""),'Auto Responses'!$J$5,IF(AND($D81='Auto Responses'!$J$27,$H81='Auto Responses'!$J$7),1,IF(AND($D81='Auto Responses'!$J$27,$H81='Auto Responses'!$J$8),0,IF(OR(AND($F81=$G81,$H81=""),$H81='Auto Responses'!$J$7),1,0)))))</f>
        <v>0</v>
      </c>
      <c r="M81" s="315" t="str">
        <f>VLOOKUP($A81,'Institution Evaluation'!$A$56:$K$345,11,0)&amp;""</f>
        <v>FALSCH</v>
      </c>
      <c r="N81" s="315">
        <f>IF($J81='Auto Responses'!$J$11,1,IF(AND($J81="",$I81='Auto Responses'!$J$11),1,0))</f>
        <v>1</v>
      </c>
      <c r="O81" s="284" t="str">
        <f>IF(OR($F$17='Auto Responses'!$J$4,$E81='Auto Responses'!$L$13,$F81='Auto Responses'!$J$5),'Auto Responses'!$J$5,IF($J81="",$K81,IF($J81='Auto Responses'!$J$13,5,IF($J81='Auto Responses'!$J$12,10,IF($J81='Auto Responses'!$J$11,20,0)))))</f>
        <v>N/A</v>
      </c>
      <c r="P81" s="284" t="str">
        <f>IF(OR($O81='Auto Responses'!$J$5,$L81='Auto Responses'!$J$5),'Auto Responses'!$J$5,$O81*$L81)</f>
        <v>N/A</v>
      </c>
      <c r="Q81" s="284">
        <f t="shared" si="8"/>
        <v>0</v>
      </c>
      <c r="R81" s="284">
        <f t="shared" si="12"/>
        <v>0</v>
      </c>
      <c r="S81" s="284">
        <f t="shared" si="9"/>
        <v>0</v>
      </c>
      <c r="T81" s="284">
        <f t="shared" si="10"/>
        <v>1</v>
      </c>
      <c r="U81" s="284">
        <f t="shared" si="13"/>
        <v>25</v>
      </c>
      <c r="V81" s="284">
        <f t="shared" si="11"/>
        <v>25</v>
      </c>
    </row>
    <row r="82" spans="1:22" ht="55.5" customHeight="1" x14ac:dyDescent="0.2">
      <c r="A82" s="315" t="str">
        <f>Questions!$A82</f>
        <v>AAAI-05</v>
      </c>
      <c r="B82" s="315" t="str">
        <f t="shared" si="7"/>
        <v>AAAI</v>
      </c>
      <c r="C82" s="315" t="str">
        <f>VLOOKUP($A82,Questions!$A$3:$L$333,2,0)&amp;""</f>
        <v>For customers not using SSO, do you have documented password/passphrase reset procedures that are currently implemented in the system and/or customer support?*</v>
      </c>
      <c r="D82" s="315" t="str">
        <f>VLOOKUP($A82,Questions!$A$3:$L$333,11,0)&amp;""</f>
        <v/>
      </c>
      <c r="E82" s="315" t="str">
        <f>VLOOKUP($A82,Questions!$A$3:$L$333,12,0)&amp;""</f>
        <v>Product</v>
      </c>
      <c r="F82" s="315" t="str">
        <f>VLOOKUP($A82,'Institution Evaluation'!$A$56:$K$345,3,0)&amp;""</f>
        <v>N/A</v>
      </c>
      <c r="G82" s="315" t="str">
        <f>VLOOKUP($A82,'Institution Evaluation'!$A$56:$K$345,7,0)&amp;""</f>
        <v>Yes</v>
      </c>
      <c r="H82" s="315" t="str">
        <f>VLOOKUP($A82,'Institution Evaluation'!$A$56:$K$345,8,0)&amp;""</f>
        <v/>
      </c>
      <c r="I82" s="315" t="str">
        <f>VLOOKUP($A82,'Institution Evaluation'!$A$56:$K$345,9,0)&amp;""</f>
        <v>Critical Importance</v>
      </c>
      <c r="J82" s="315" t="str">
        <f>VLOOKUP($A82,'Institution Evaluation'!$A$56:$K$345,10,0)&amp;""</f>
        <v/>
      </c>
      <c r="K82" s="315">
        <f>IF($I82='Auto Responses'!$J$11,20,IF($I82='Auto Responses'!$J$13,5,10))</f>
        <v>20</v>
      </c>
      <c r="L82" s="284">
        <f>IF($E82='Auto Responses'!$L$13, 'Auto Responses'!$J$5,IF(AND($D82='Auto Responses'!$J$27,$H82=""),'Auto Responses'!$J$5,IF(AND($D82='Auto Responses'!$J$27,$H82='Auto Responses'!$J$7),1,IF(AND($D82='Auto Responses'!$J$27,$H82='Auto Responses'!$J$8),0,IF(OR(AND($F82=$G82,$H82=""),$H82='Auto Responses'!$J$7),1,0)))))</f>
        <v>0</v>
      </c>
      <c r="M82" s="315" t="str">
        <f>VLOOKUP($A82,'Institution Evaluation'!$A$56:$K$345,11,0)&amp;""</f>
        <v>FALSCH</v>
      </c>
      <c r="N82" s="315">
        <f>IF($J82='Auto Responses'!$J$11,1,IF(AND($J82="",$I82='Auto Responses'!$J$11),1,0))</f>
        <v>1</v>
      </c>
      <c r="O82" s="284" t="str">
        <f>IF(OR($F$17='Auto Responses'!$J$4,$E82='Auto Responses'!$L$13,$F82='Auto Responses'!$J$5),'Auto Responses'!$J$5,IF($J82="",$K82,IF($J82='Auto Responses'!$J$13,5,IF($J82='Auto Responses'!$J$12,10,IF($J82='Auto Responses'!$J$11,20,0)))))</f>
        <v>N/A</v>
      </c>
      <c r="P82" s="284" t="str">
        <f>IF(OR($O82='Auto Responses'!$J$5,$L82='Auto Responses'!$J$5),'Auto Responses'!$J$5,$O82*$L82)</f>
        <v>N/A</v>
      </c>
      <c r="Q82" s="284">
        <f t="shared" si="8"/>
        <v>0</v>
      </c>
      <c r="R82" s="284">
        <f t="shared" si="12"/>
        <v>0</v>
      </c>
      <c r="S82" s="284">
        <f t="shared" si="9"/>
        <v>0</v>
      </c>
      <c r="T82" s="284">
        <f t="shared" si="10"/>
        <v>1</v>
      </c>
      <c r="U82" s="284">
        <f t="shared" si="13"/>
        <v>26</v>
      </c>
      <c r="V82" s="284">
        <f t="shared" si="11"/>
        <v>26</v>
      </c>
    </row>
    <row r="83" spans="1:22" ht="55.5" customHeight="1" x14ac:dyDescent="0.2">
      <c r="A83" s="315" t="str">
        <f>Questions!$A83</f>
        <v>AAAI-06</v>
      </c>
      <c r="B83" s="315" t="str">
        <f t="shared" si="7"/>
        <v>AAAI</v>
      </c>
      <c r="C83" s="315" t="str">
        <f>VLOOKUP($A83,Questions!$A$3:$L$333,2,0)&amp;""</f>
        <v>Does your organization participate in InCommon or another eduGAIN-affiliated trust federation?*</v>
      </c>
      <c r="D83" s="315" t="str">
        <f>VLOOKUP($A83,Questions!$A$3:$L$333,11,0)&amp;""</f>
        <v/>
      </c>
      <c r="E83" s="315" t="str">
        <f>VLOOKUP($A83,Questions!$A$3:$L$333,12,0)&amp;""</f>
        <v>Product</v>
      </c>
      <c r="F83" s="315" t="str">
        <f>VLOOKUP($A83,'Institution Evaluation'!$A$56:$K$345,3,0)&amp;""</f>
        <v>N/A</v>
      </c>
      <c r="G83" s="315" t="str">
        <f>VLOOKUP($A83,'Institution Evaluation'!$A$56:$K$345,7,0)&amp;""</f>
        <v>Yes</v>
      </c>
      <c r="H83" s="315" t="str">
        <f>VLOOKUP($A83,'Institution Evaluation'!$A$56:$K$345,8,0)&amp;""</f>
        <v/>
      </c>
      <c r="I83" s="315" t="str">
        <f>VLOOKUP($A83,'Institution Evaluation'!$A$56:$K$345,9,0)&amp;""</f>
        <v>Critical Importance</v>
      </c>
      <c r="J83" s="315" t="str">
        <f>VLOOKUP($A83,'Institution Evaluation'!$A$56:$K$345,10,0)&amp;""</f>
        <v/>
      </c>
      <c r="K83" s="315">
        <f>IF($I83='Auto Responses'!$J$11,20,IF($I83='Auto Responses'!$J$13,5,10))</f>
        <v>20</v>
      </c>
      <c r="L83" s="284">
        <f>IF($E83='Auto Responses'!$L$13, 'Auto Responses'!$J$5,IF(AND($D83='Auto Responses'!$J$27,$H83=""),'Auto Responses'!$J$5,IF(AND($D83='Auto Responses'!$J$27,$H83='Auto Responses'!$J$7),1,IF(AND($D83='Auto Responses'!$J$27,$H83='Auto Responses'!$J$8),0,IF(OR(AND($F83=$G83,$H83=""),$H83='Auto Responses'!$J$7),1,0)))))</f>
        <v>0</v>
      </c>
      <c r="M83" s="315" t="str">
        <f>VLOOKUP($A83,'Institution Evaluation'!$A$56:$K$345,11,0)&amp;""</f>
        <v>FALSCH</v>
      </c>
      <c r="N83" s="315">
        <f>IF($J83='Auto Responses'!$J$11,1,IF(AND($J83="",$I83='Auto Responses'!$J$11),1,0))</f>
        <v>1</v>
      </c>
      <c r="O83" s="284" t="str">
        <f>IF(OR($F$17='Auto Responses'!$J$4,$E83='Auto Responses'!$L$13,$F83='Auto Responses'!$J$5),'Auto Responses'!$J$5,IF($J83="",$K83,IF($J83='Auto Responses'!$J$13,5,IF($J83='Auto Responses'!$J$12,10,IF($J83='Auto Responses'!$J$11,20,0)))))</f>
        <v>N/A</v>
      </c>
      <c r="P83" s="284" t="str">
        <f>IF(OR($O83='Auto Responses'!$J$5,$L83='Auto Responses'!$J$5),'Auto Responses'!$J$5,$O83*$L83)</f>
        <v>N/A</v>
      </c>
      <c r="Q83" s="284">
        <f t="shared" si="8"/>
        <v>0</v>
      </c>
      <c r="R83" s="284">
        <f t="shared" si="12"/>
        <v>0</v>
      </c>
      <c r="S83" s="284">
        <f t="shared" si="9"/>
        <v>0</v>
      </c>
      <c r="T83" s="284">
        <f t="shared" si="10"/>
        <v>1</v>
      </c>
      <c r="U83" s="284">
        <f t="shared" si="13"/>
        <v>27</v>
      </c>
      <c r="V83" s="284">
        <f t="shared" si="11"/>
        <v>27</v>
      </c>
    </row>
    <row r="84" spans="1:22" ht="55.5" customHeight="1" x14ac:dyDescent="0.2">
      <c r="A84" s="315" t="str">
        <f>Questions!$A84</f>
        <v>AAAI-07</v>
      </c>
      <c r="B84" s="315" t="str">
        <f t="shared" si="7"/>
        <v>AAAI</v>
      </c>
      <c r="C84" s="315" t="str">
        <f>VLOOKUP($A84,Questions!$A$3:$L$333,2,0)&amp;""</f>
        <v>Are there any passwords/passphrases hard-coded into your systems or solutions?*</v>
      </c>
      <c r="D84" s="315" t="str">
        <f>VLOOKUP($A84,Questions!$A$3:$L$333,11,0)&amp;""</f>
        <v/>
      </c>
      <c r="E84" s="315" t="str">
        <f>VLOOKUP($A84,Questions!$A$3:$L$333,12,0)&amp;""</f>
        <v>Product</v>
      </c>
      <c r="F84" s="315" t="str">
        <f>VLOOKUP($A84,'Institution Evaluation'!$A$56:$K$345,3,0)&amp;""</f>
        <v>N/A</v>
      </c>
      <c r="G84" s="315" t="str">
        <f>VLOOKUP($A84,'Institution Evaluation'!$A$56:$K$345,7,0)&amp;""</f>
        <v>No</v>
      </c>
      <c r="H84" s="315" t="str">
        <f>VLOOKUP($A84,'Institution Evaluation'!$A$56:$K$345,8,0)&amp;""</f>
        <v/>
      </c>
      <c r="I84" s="315" t="str">
        <f>VLOOKUP($A84,'Institution Evaluation'!$A$56:$K$345,9,0)&amp;""</f>
        <v>Critical Importance</v>
      </c>
      <c r="J84" s="315" t="str">
        <f>VLOOKUP($A84,'Institution Evaluation'!$A$56:$K$345,10,0)&amp;""</f>
        <v/>
      </c>
      <c r="K84" s="315">
        <f>IF($I84='Auto Responses'!$J$11,20,IF($I84='Auto Responses'!$J$13,5,10))</f>
        <v>20</v>
      </c>
      <c r="L84" s="284">
        <f>IF($E84='Auto Responses'!$L$13, 'Auto Responses'!$J$5,IF(AND($D84='Auto Responses'!$J$27,$H84=""),'Auto Responses'!$J$5,IF(AND($D84='Auto Responses'!$J$27,$H84='Auto Responses'!$J$7),1,IF(AND($D84='Auto Responses'!$J$27,$H84='Auto Responses'!$J$8),0,IF(OR(AND($F84=$G84,$H84=""),$H84='Auto Responses'!$J$7),1,0)))))</f>
        <v>0</v>
      </c>
      <c r="M84" s="315" t="str">
        <f>VLOOKUP($A84,'Institution Evaluation'!$A$56:$K$345,11,0)&amp;""</f>
        <v>FALSCH</v>
      </c>
      <c r="N84" s="315">
        <f>IF($J84='Auto Responses'!$J$11,1,IF(AND($J84="",$I84='Auto Responses'!$J$11),1,0))</f>
        <v>1</v>
      </c>
      <c r="O84" s="284" t="str">
        <f>IF(OR($F$17='Auto Responses'!$J$4,$E84='Auto Responses'!$L$13,$F84='Auto Responses'!$J$5),'Auto Responses'!$J$5,IF($J84="",$K84,IF($J84='Auto Responses'!$J$13,5,IF($J84='Auto Responses'!$J$12,10,IF($J84='Auto Responses'!$J$11,20,0)))))</f>
        <v>N/A</v>
      </c>
      <c r="P84" s="284" t="str">
        <f>IF(OR($O84='Auto Responses'!$J$5,$L84='Auto Responses'!$J$5),'Auto Responses'!$J$5,$O84*$L84)</f>
        <v>N/A</v>
      </c>
      <c r="Q84" s="284">
        <f t="shared" si="8"/>
        <v>0</v>
      </c>
      <c r="R84" s="284">
        <f t="shared" si="12"/>
        <v>0</v>
      </c>
      <c r="S84" s="284">
        <f t="shared" si="9"/>
        <v>0</v>
      </c>
      <c r="T84" s="284">
        <f t="shared" si="10"/>
        <v>1</v>
      </c>
      <c r="U84" s="284">
        <f t="shared" si="13"/>
        <v>28</v>
      </c>
      <c r="V84" s="284">
        <f t="shared" si="11"/>
        <v>28</v>
      </c>
    </row>
    <row r="85" spans="1:22" ht="55.5" customHeight="1" x14ac:dyDescent="0.2">
      <c r="A85" s="315" t="str">
        <f>Questions!$A85</f>
        <v>AAAI-08</v>
      </c>
      <c r="B85" s="315" t="str">
        <f t="shared" si="7"/>
        <v>AAAI</v>
      </c>
      <c r="C85" s="315" t="str">
        <f>VLOOKUP($A85,Questions!$A$3:$L$333,2,0)&amp;""</f>
        <v>Are you storing any passwords in plaintext?*</v>
      </c>
      <c r="D85" s="315" t="str">
        <f>VLOOKUP($A85,Questions!$A$3:$L$333,11,0)&amp;""</f>
        <v/>
      </c>
      <c r="E85" s="315" t="str">
        <f>VLOOKUP($A85,Questions!$A$3:$L$333,12,0)&amp;""</f>
        <v>Product</v>
      </c>
      <c r="F85" s="315" t="str">
        <f>VLOOKUP($A85,'Institution Evaluation'!$A$56:$K$345,3,0)&amp;""</f>
        <v>N/A</v>
      </c>
      <c r="G85" s="315" t="str">
        <f>VLOOKUP($A85,'Institution Evaluation'!$A$56:$K$345,7,0)&amp;""</f>
        <v>No</v>
      </c>
      <c r="H85" s="315" t="str">
        <f>VLOOKUP($A85,'Institution Evaluation'!$A$56:$K$345,8,0)&amp;""</f>
        <v/>
      </c>
      <c r="I85" s="315" t="str">
        <f>VLOOKUP($A85,'Institution Evaluation'!$A$56:$K$345,9,0)&amp;""</f>
        <v>Critical Importance</v>
      </c>
      <c r="J85" s="315" t="str">
        <f>VLOOKUP($A85,'Institution Evaluation'!$A$56:$K$345,10,0)&amp;""</f>
        <v/>
      </c>
      <c r="K85" s="315">
        <f>IF($I85='Auto Responses'!$J$11,20,IF($I85='Auto Responses'!$J$13,5,10))</f>
        <v>20</v>
      </c>
      <c r="L85" s="284">
        <f>IF($E85='Auto Responses'!$L$13, 'Auto Responses'!$J$5,IF(AND($D85='Auto Responses'!$J$27,$H85=""),'Auto Responses'!$J$5,IF(AND($D85='Auto Responses'!$J$27,$H85='Auto Responses'!$J$7),1,IF(AND($D85='Auto Responses'!$J$27,$H85='Auto Responses'!$J$8),0,IF(OR(AND($F85=$G85,$H85=""),$H85='Auto Responses'!$J$7),1,0)))))</f>
        <v>0</v>
      </c>
      <c r="M85" s="315" t="str">
        <f>VLOOKUP($A85,'Institution Evaluation'!$A$56:$K$345,11,0)&amp;""</f>
        <v>FALSCH</v>
      </c>
      <c r="N85" s="315">
        <f>IF($J85='Auto Responses'!$J$11,1,IF(AND($J85="",$I85='Auto Responses'!$J$11),1,0))</f>
        <v>1</v>
      </c>
      <c r="O85" s="284" t="str">
        <f>IF(OR($F$17='Auto Responses'!$J$4,$E85='Auto Responses'!$L$13,$F85='Auto Responses'!$J$5),'Auto Responses'!$J$5,IF($J85="",$K85,IF($J85='Auto Responses'!$J$13,5,IF($J85='Auto Responses'!$J$12,10,IF($J85='Auto Responses'!$J$11,20,0)))))</f>
        <v>N/A</v>
      </c>
      <c r="P85" s="284" t="str">
        <f>IF(OR($O85='Auto Responses'!$J$5,$L85='Auto Responses'!$J$5),'Auto Responses'!$J$5,$O85*$L85)</f>
        <v>N/A</v>
      </c>
      <c r="Q85" s="284">
        <f t="shared" si="8"/>
        <v>0</v>
      </c>
      <c r="R85" s="284">
        <f t="shared" si="12"/>
        <v>0</v>
      </c>
      <c r="S85" s="284">
        <f t="shared" si="9"/>
        <v>0</v>
      </c>
      <c r="T85" s="284">
        <f t="shared" si="10"/>
        <v>1</v>
      </c>
      <c r="U85" s="284">
        <f t="shared" si="13"/>
        <v>29</v>
      </c>
      <c r="V85" s="284">
        <f t="shared" si="11"/>
        <v>29</v>
      </c>
    </row>
    <row r="86" spans="1:22" ht="55.5" customHeight="1" x14ac:dyDescent="0.2">
      <c r="A86" s="315" t="str">
        <f>Questions!$A86</f>
        <v>AAAI-09</v>
      </c>
      <c r="B86" s="315" t="str">
        <f t="shared" si="7"/>
        <v>AAAI</v>
      </c>
      <c r="C86" s="315" t="str">
        <f>VLOOKUP($A86,Questions!$A$3:$L$333,2,0)&amp;""</f>
        <v>Are audit logs available that include AT LEAST all of the following: login, logout, actions performed, and source IP address?*</v>
      </c>
      <c r="D86" s="315" t="str">
        <f>VLOOKUP($A86,Questions!$A$3:$L$333,11,0)&amp;""</f>
        <v/>
      </c>
      <c r="E86" s="315" t="str">
        <f>VLOOKUP($A86,Questions!$A$3:$L$333,12,0)&amp;""</f>
        <v>Product</v>
      </c>
      <c r="F86" s="315" t="str">
        <f>VLOOKUP($A86,'Institution Evaluation'!$A$56:$K$345,3,0)&amp;""</f>
        <v>N/A</v>
      </c>
      <c r="G86" s="315" t="str">
        <f>VLOOKUP($A86,'Institution Evaluation'!$A$56:$K$345,7,0)&amp;""</f>
        <v>Yes</v>
      </c>
      <c r="H86" s="315" t="str">
        <f>VLOOKUP($A86,'Institution Evaluation'!$A$56:$K$345,8,0)&amp;""</f>
        <v/>
      </c>
      <c r="I86" s="315" t="str">
        <f>VLOOKUP($A86,'Institution Evaluation'!$A$56:$K$345,9,0)&amp;""</f>
        <v>Critical Importance</v>
      </c>
      <c r="J86" s="315" t="str">
        <f>VLOOKUP($A86,'Institution Evaluation'!$A$56:$K$345,10,0)&amp;""</f>
        <v/>
      </c>
      <c r="K86" s="315">
        <f>IF($I86='Auto Responses'!$J$11,20,IF($I86='Auto Responses'!$J$13,5,10))</f>
        <v>20</v>
      </c>
      <c r="L86" s="284">
        <f>IF($E86='Auto Responses'!$L$13, 'Auto Responses'!$J$5,IF(AND($D86='Auto Responses'!$J$27,$H86=""),'Auto Responses'!$J$5,IF(AND($D86='Auto Responses'!$J$27,$H86='Auto Responses'!$J$7),1,IF(AND($D86='Auto Responses'!$J$27,$H86='Auto Responses'!$J$8),0,IF(OR(AND($F86=$G86,$H86=""),$H86='Auto Responses'!$J$7),1,0)))))</f>
        <v>0</v>
      </c>
      <c r="M86" s="315" t="str">
        <f>VLOOKUP($A86,'Institution Evaluation'!$A$56:$K$345,11,0)&amp;""</f>
        <v>FALSCH</v>
      </c>
      <c r="N86" s="315">
        <f>IF($J86='Auto Responses'!$J$11,1,IF(AND($J86="",$I86='Auto Responses'!$J$11),1,0))</f>
        <v>1</v>
      </c>
      <c r="O86" s="284" t="str">
        <f>IF(OR($F$17='Auto Responses'!$J$4,$E86='Auto Responses'!$L$13,$F86='Auto Responses'!$J$5),'Auto Responses'!$J$5,IF($J86="",$K86,IF($J86='Auto Responses'!$J$13,5,IF($J86='Auto Responses'!$J$12,10,IF($J86='Auto Responses'!$J$11,20,0)))))</f>
        <v>N/A</v>
      </c>
      <c r="P86" s="284" t="str">
        <f>IF(OR($O86='Auto Responses'!$J$5,$L86='Auto Responses'!$J$5),'Auto Responses'!$J$5,$O86*$L86)</f>
        <v>N/A</v>
      </c>
      <c r="Q86" s="284">
        <f t="shared" si="8"/>
        <v>0</v>
      </c>
      <c r="R86" s="284">
        <f t="shared" si="12"/>
        <v>0</v>
      </c>
      <c r="S86" s="284">
        <f t="shared" si="9"/>
        <v>0</v>
      </c>
      <c r="T86" s="284">
        <f t="shared" si="10"/>
        <v>1</v>
      </c>
      <c r="U86" s="284">
        <f t="shared" si="13"/>
        <v>30</v>
      </c>
      <c r="V86" s="284">
        <f t="shared" si="11"/>
        <v>30</v>
      </c>
    </row>
    <row r="87" spans="1:22" ht="111.75" customHeight="1" x14ac:dyDescent="0.2">
      <c r="A87" s="315" t="str">
        <f>Questions!$A87</f>
        <v>AAAI-10</v>
      </c>
      <c r="B87" s="315" t="str">
        <f t="shared" si="7"/>
        <v>AAAI</v>
      </c>
      <c r="C87" s="315"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315" t="str">
        <f>VLOOKUP($A87,Questions!$A$3:$L$333,11,0)&amp;""</f>
        <v/>
      </c>
      <c r="E87" s="315" t="str">
        <f>VLOOKUP($A87,Questions!$A$3:$L$333,12,0)&amp;""</f>
        <v>Not scored</v>
      </c>
      <c r="F87" s="315" t="str">
        <f>VLOOKUP($A87,'Institution Evaluation'!$A$56:$K$345,3,0)&amp;""</f>
        <v>N/A</v>
      </c>
      <c r="G87" s="315" t="str">
        <f>VLOOKUP($A87,'Institution Evaluation'!$A$56:$K$345,7,0)&amp;""</f>
        <v>Not scored</v>
      </c>
      <c r="H87" s="315" t="str">
        <f>VLOOKUP($A87,'Institution Evaluation'!$A$56:$K$345,8,0)&amp;""</f>
        <v/>
      </c>
      <c r="I87" s="315" t="str">
        <f>VLOOKUP($A87,'Institution Evaluation'!$A$56:$K$345,9,0)&amp;""</f>
        <v/>
      </c>
      <c r="J87" s="315" t="str">
        <f>VLOOKUP($A87,'Institution Evaluation'!$A$56:$K$345,10,0)&amp;""</f>
        <v/>
      </c>
      <c r="K87" s="315">
        <f>IF($I87='Auto Responses'!$J$11,20,IF($I87='Auto Responses'!$J$13,5,10))</f>
        <v>10</v>
      </c>
      <c r="L87" s="284" t="str">
        <f>IF($E87='Auto Responses'!$L$13, 'Auto Responses'!$J$5,IF(AND($D87='Auto Responses'!$J$27,$H87=""),'Auto Responses'!$J$5,IF(AND($D87='Auto Responses'!$J$27,$H87='Auto Responses'!$J$7),1,IF(AND($D87='Auto Responses'!$J$27,$H87='Auto Responses'!$J$8),0,IF(OR(AND($F87=$G87,$H87=""),$H87='Auto Responses'!$J$7),1,0)))))</f>
        <v>N/A</v>
      </c>
      <c r="M87" s="315" t="str">
        <f>VLOOKUP($A87,'Institution Evaluation'!$A$56:$K$345,11,0)&amp;""</f>
        <v>FALSCH</v>
      </c>
      <c r="N87" s="315">
        <f>IF($J87='Auto Responses'!$J$11,1,IF(AND($J87="",$I87='Auto Responses'!$J$11),1,0))</f>
        <v>0</v>
      </c>
      <c r="O87" s="284" t="str">
        <f>IF(OR($F$17='Auto Responses'!$J$4,$E87='Auto Responses'!$L$13,$F87='Auto Responses'!$J$5),'Auto Responses'!$J$5,IF($J87="",$K87,IF($J87='Auto Responses'!$J$13,5,IF($J87='Auto Responses'!$J$12,10,IF($J87='Auto Responses'!$J$11,20,0)))))</f>
        <v>N/A</v>
      </c>
      <c r="P87" s="284" t="str">
        <f>IF(OR($O87='Auto Responses'!$J$5,$L87='Auto Responses'!$J$5),'Auto Responses'!$J$5,$O87*$L87)</f>
        <v>N/A</v>
      </c>
      <c r="Q87" s="284">
        <f t="shared" si="8"/>
        <v>0</v>
      </c>
      <c r="R87" s="284">
        <f t="shared" si="12"/>
        <v>0</v>
      </c>
      <c r="S87" s="284">
        <f t="shared" si="9"/>
        <v>0</v>
      </c>
      <c r="T87" s="284">
        <f t="shared" si="10"/>
        <v>0</v>
      </c>
      <c r="U87" s="284">
        <f t="shared" si="13"/>
        <v>30</v>
      </c>
      <c r="V87" s="284">
        <f t="shared" si="11"/>
        <v>0</v>
      </c>
    </row>
    <row r="88" spans="1:22" ht="55.5" customHeight="1" x14ac:dyDescent="0.2">
      <c r="A88" s="315" t="str">
        <f>Questions!$A88</f>
        <v>AAAI-11</v>
      </c>
      <c r="B88" s="315" t="str">
        <f t="shared" si="7"/>
        <v>AAAI</v>
      </c>
      <c r="C88" s="315" t="str">
        <f>VLOOKUP($A88,Questions!$A$3:$L$333,2,0)&amp;""</f>
        <v>Can you provide the institution documentation regarding the retention period for those logs, how logs are protected, and whether they are accessible to the customer (and if so, how)?*</v>
      </c>
      <c r="D88" s="315" t="str">
        <f>VLOOKUP($A88,Questions!$A$3:$L$333,11,0)&amp;""</f>
        <v/>
      </c>
      <c r="E88" s="315" t="str">
        <f>VLOOKUP($A88,Questions!$A$3:$L$333,12,0)&amp;""</f>
        <v>Product</v>
      </c>
      <c r="F88" s="315" t="str">
        <f>VLOOKUP($A88,'Institution Evaluation'!$A$56:$K$345,3,0)&amp;""</f>
        <v>N/A</v>
      </c>
      <c r="G88" s="315" t="str">
        <f>VLOOKUP($A88,'Institution Evaluation'!$A$56:$K$345,7,0)&amp;""</f>
        <v>Yes</v>
      </c>
      <c r="H88" s="315" t="str">
        <f>VLOOKUP($A88,'Institution Evaluation'!$A$56:$K$345,8,0)&amp;""</f>
        <v/>
      </c>
      <c r="I88" s="315" t="str">
        <f>VLOOKUP($A88,'Institution Evaluation'!$A$56:$K$345,9,0)&amp;""</f>
        <v>Critical Importance</v>
      </c>
      <c r="J88" s="315" t="str">
        <f>VLOOKUP($A88,'Institution Evaluation'!$A$56:$K$345,10,0)&amp;""</f>
        <v/>
      </c>
      <c r="K88" s="315">
        <f>IF($I88='Auto Responses'!$J$11,20,IF($I88='Auto Responses'!$J$13,5,10))</f>
        <v>20</v>
      </c>
      <c r="L88" s="284">
        <f>IF($E88='Auto Responses'!$L$13, 'Auto Responses'!$J$5,IF(AND($D88='Auto Responses'!$J$27,$H88=""),'Auto Responses'!$J$5,IF(AND($D88='Auto Responses'!$J$27,$H88='Auto Responses'!$J$7),1,IF(AND($D88='Auto Responses'!$J$27,$H88='Auto Responses'!$J$8),0,IF(OR(AND($F88=$G88,$H88=""),$H88='Auto Responses'!$J$7),1,0)))))</f>
        <v>0</v>
      </c>
      <c r="M88" s="315" t="str">
        <f>VLOOKUP($A88,'Institution Evaluation'!$A$56:$K$345,11,0)&amp;""</f>
        <v>FALSCH</v>
      </c>
      <c r="N88" s="315">
        <f>IF($J88='Auto Responses'!$J$11,1,IF(AND($J88="",$I88='Auto Responses'!$J$11),1,0))</f>
        <v>1</v>
      </c>
      <c r="O88" s="284" t="str">
        <f>IF(OR($F$17='Auto Responses'!$J$4,$E88='Auto Responses'!$L$13,$F88='Auto Responses'!$J$5),'Auto Responses'!$J$5,IF($J88="",$K88,IF($J88='Auto Responses'!$J$13,5,IF($J88='Auto Responses'!$J$12,10,IF($J88='Auto Responses'!$J$11,20,0)))))</f>
        <v>N/A</v>
      </c>
      <c r="P88" s="284" t="str">
        <f>IF(OR($O88='Auto Responses'!$J$5,$L88='Auto Responses'!$J$5),'Auto Responses'!$J$5,$O88*$L88)</f>
        <v>N/A</v>
      </c>
      <c r="Q88" s="284">
        <f t="shared" si="8"/>
        <v>0</v>
      </c>
      <c r="R88" s="284">
        <f t="shared" si="12"/>
        <v>0</v>
      </c>
      <c r="S88" s="284">
        <f t="shared" si="9"/>
        <v>0</v>
      </c>
      <c r="T88" s="284">
        <f t="shared" si="10"/>
        <v>1</v>
      </c>
      <c r="U88" s="284">
        <f t="shared" si="13"/>
        <v>31</v>
      </c>
      <c r="V88" s="284">
        <f t="shared" si="11"/>
        <v>31</v>
      </c>
    </row>
    <row r="89" spans="1:22" ht="55.5" customHeight="1" x14ac:dyDescent="0.2">
      <c r="A89" s="315" t="str">
        <f>Questions!$A89</f>
        <v>AAAI-12</v>
      </c>
      <c r="B89" s="315" t="str">
        <f t="shared" si="7"/>
        <v>AAAI</v>
      </c>
      <c r="C89" s="315" t="str">
        <f>VLOOKUP($A89,Questions!$A$3:$L$333,2,0)&amp;""</f>
        <v>For customers not using SSO, does your application support integration with other authentication and authorization systems?</v>
      </c>
      <c r="D89" s="315" t="str">
        <f>VLOOKUP($A89,Questions!$A$3:$L$333,11,0)&amp;""</f>
        <v/>
      </c>
      <c r="E89" s="315" t="str">
        <f>VLOOKUP($A89,Questions!$A$3:$L$333,12,0)&amp;""</f>
        <v>Product</v>
      </c>
      <c r="F89" s="315" t="str">
        <f>VLOOKUP($A89,'Institution Evaluation'!$A$56:$K$345,3,0)&amp;""</f>
        <v>N/A</v>
      </c>
      <c r="G89" s="315" t="str">
        <f>VLOOKUP($A89,'Institution Evaluation'!$A$56:$K$345,7,0)&amp;""</f>
        <v>Yes</v>
      </c>
      <c r="H89" s="315" t="str">
        <f>VLOOKUP($A89,'Institution Evaluation'!$A$56:$K$345,8,0)&amp;""</f>
        <v/>
      </c>
      <c r="I89" s="315" t="str">
        <f>VLOOKUP($A89,'Institution Evaluation'!$A$56:$K$345,9,0)&amp;""</f>
        <v>Standard Importance</v>
      </c>
      <c r="J89" s="315" t="str">
        <f>VLOOKUP($A89,'Institution Evaluation'!$A$56:$K$345,10,0)&amp;""</f>
        <v/>
      </c>
      <c r="K89" s="315">
        <f>IF($I89='Auto Responses'!$J$11,20,IF($I89='Auto Responses'!$J$13,5,10))</f>
        <v>10</v>
      </c>
      <c r="L89" s="284">
        <f>IF($E89='Auto Responses'!$L$13, 'Auto Responses'!$J$5,IF(AND($D89='Auto Responses'!$J$27,$H89=""),'Auto Responses'!$J$5,IF(AND($D89='Auto Responses'!$J$27,$H89='Auto Responses'!$J$7),1,IF(AND($D89='Auto Responses'!$J$27,$H89='Auto Responses'!$J$8),0,IF(OR(AND($F89=$G89,$H89=""),$H89='Auto Responses'!$J$7),1,0)))))</f>
        <v>0</v>
      </c>
      <c r="M89" s="315" t="str">
        <f>VLOOKUP($A89,'Institution Evaluation'!$A$56:$K$345,11,0)&amp;""</f>
        <v>FALSCH</v>
      </c>
      <c r="N89" s="315">
        <f>IF($J89='Auto Responses'!$J$11,1,IF(AND($J89="",$I89='Auto Responses'!$J$11),1,0))</f>
        <v>0</v>
      </c>
      <c r="O89" s="284" t="str">
        <f>IF(OR($F$17='Auto Responses'!$J$4,$E89='Auto Responses'!$L$13,$F89='Auto Responses'!$J$5),'Auto Responses'!$J$5,IF($J89="",$K89,IF($J89='Auto Responses'!$J$13,5,IF($J89='Auto Responses'!$J$12,10,IF($J89='Auto Responses'!$J$11,20,0)))))</f>
        <v>N/A</v>
      </c>
      <c r="P89" s="284" t="str">
        <f>IF(OR($O89='Auto Responses'!$J$5,$L89='Auto Responses'!$J$5),'Auto Responses'!$J$5,$O89*$L89)</f>
        <v>N/A</v>
      </c>
      <c r="Q89" s="284">
        <f t="shared" si="8"/>
        <v>0</v>
      </c>
      <c r="R89" s="284">
        <f t="shared" si="12"/>
        <v>0</v>
      </c>
      <c r="S89" s="284">
        <f t="shared" si="9"/>
        <v>0</v>
      </c>
      <c r="T89" s="284">
        <f t="shared" si="10"/>
        <v>0</v>
      </c>
      <c r="U89" s="284">
        <f t="shared" si="13"/>
        <v>31</v>
      </c>
      <c r="V89" s="284">
        <f t="shared" si="11"/>
        <v>0</v>
      </c>
    </row>
    <row r="90" spans="1:22" ht="55.5" customHeight="1" x14ac:dyDescent="0.2">
      <c r="A90" s="315" t="str">
        <f>Questions!$A90</f>
        <v>AAAI-13</v>
      </c>
      <c r="B90" s="315" t="str">
        <f t="shared" si="7"/>
        <v>AAAI</v>
      </c>
      <c r="C90" s="315" t="str">
        <f>VLOOKUP($A90,Questions!$A$3:$L$333,2,0)&amp;""</f>
        <v>Do you allow the customer to specify attribute mappings for any needed information beyond a user identifier? (e.g., Reference eduPerson, ePPA/ePPN/ePE)</v>
      </c>
      <c r="D90" s="315" t="str">
        <f>VLOOKUP($A90,Questions!$A$3:$L$333,11,0)&amp;""</f>
        <v/>
      </c>
      <c r="E90" s="315" t="str">
        <f>VLOOKUP($A90,Questions!$A$3:$L$333,12,0)&amp;""</f>
        <v>Product</v>
      </c>
      <c r="F90" s="315" t="str">
        <f>VLOOKUP($A90,'Institution Evaluation'!$A$56:$K$345,3,0)&amp;""</f>
        <v>N/A</v>
      </c>
      <c r="G90" s="315" t="str">
        <f>VLOOKUP($A90,'Institution Evaluation'!$A$56:$K$345,7,0)&amp;""</f>
        <v>Yes</v>
      </c>
      <c r="H90" s="315" t="str">
        <f>VLOOKUP($A90,'Institution Evaluation'!$A$56:$K$345,8,0)&amp;""</f>
        <v/>
      </c>
      <c r="I90" s="315" t="str">
        <f>VLOOKUP($A90,'Institution Evaluation'!$A$56:$K$345,9,0)&amp;""</f>
        <v>Standard Importance</v>
      </c>
      <c r="J90" s="315" t="str">
        <f>VLOOKUP($A90,'Institution Evaluation'!$A$56:$K$345,10,0)&amp;""</f>
        <v/>
      </c>
      <c r="K90" s="315">
        <f>IF($I90='Auto Responses'!$J$11,20,IF($I90='Auto Responses'!$J$13,5,10))</f>
        <v>10</v>
      </c>
      <c r="L90" s="284">
        <f>IF($E90='Auto Responses'!$L$13, 'Auto Responses'!$J$5,IF(AND($D90='Auto Responses'!$J$27,$H90=""),'Auto Responses'!$J$5,IF(AND($D90='Auto Responses'!$J$27,$H90='Auto Responses'!$J$7),1,IF(AND($D90='Auto Responses'!$J$27,$H90='Auto Responses'!$J$8),0,IF(OR(AND($F90=$G90,$H90=""),$H90='Auto Responses'!$J$7),1,0)))))</f>
        <v>0</v>
      </c>
      <c r="M90" s="315" t="str">
        <f>VLOOKUP($A90,'Institution Evaluation'!$A$56:$K$345,11,0)&amp;""</f>
        <v>FALSCH</v>
      </c>
      <c r="N90" s="315">
        <f>IF($J90='Auto Responses'!$J$11,1,IF(AND($J90="",$I90='Auto Responses'!$J$11),1,0))</f>
        <v>0</v>
      </c>
      <c r="O90" s="284" t="str">
        <f>IF(OR($F$17='Auto Responses'!$J$4,$E90='Auto Responses'!$L$13,$F90='Auto Responses'!$J$5),'Auto Responses'!$J$5,IF($J90="",$K90,IF($J90='Auto Responses'!$J$13,5,IF($J90='Auto Responses'!$J$12,10,IF($J90='Auto Responses'!$J$11,20,0)))))</f>
        <v>N/A</v>
      </c>
      <c r="P90" s="284" t="str">
        <f>IF(OR($O90='Auto Responses'!$J$5,$L90='Auto Responses'!$J$5),'Auto Responses'!$J$5,$O90*$L90)</f>
        <v>N/A</v>
      </c>
      <c r="Q90" s="284">
        <f t="shared" si="8"/>
        <v>0</v>
      </c>
      <c r="R90" s="284">
        <f t="shared" si="12"/>
        <v>0</v>
      </c>
      <c r="S90" s="284">
        <f t="shared" si="9"/>
        <v>0</v>
      </c>
      <c r="T90" s="284">
        <f t="shared" si="10"/>
        <v>0</v>
      </c>
      <c r="U90" s="284">
        <f t="shared" si="13"/>
        <v>31</v>
      </c>
      <c r="V90" s="284">
        <f t="shared" si="11"/>
        <v>0</v>
      </c>
    </row>
    <row r="91" spans="1:22" ht="55.5" customHeight="1" x14ac:dyDescent="0.2">
      <c r="A91" s="315" t="str">
        <f>Questions!$A91</f>
        <v>AAAI-14</v>
      </c>
      <c r="B91" s="315" t="str">
        <f t="shared" si="7"/>
        <v>AAAI</v>
      </c>
      <c r="C91" s="315" t="str">
        <f>VLOOKUP($A91,Questions!$A$3:$L$333,2,0)&amp;""</f>
        <v>For customers not using SSO, does your application support directory integration for user accounts?</v>
      </c>
      <c r="D91" s="315" t="str">
        <f>VLOOKUP($A91,Questions!$A$3:$L$333,11,0)&amp;""</f>
        <v/>
      </c>
      <c r="E91" s="315" t="str">
        <f>VLOOKUP($A91,Questions!$A$3:$L$333,12,0)&amp;""</f>
        <v>Product</v>
      </c>
      <c r="F91" s="315" t="str">
        <f>VLOOKUP($A91,'Institution Evaluation'!$A$56:$K$345,3,0)&amp;""</f>
        <v>N/A</v>
      </c>
      <c r="G91" s="315" t="str">
        <f>VLOOKUP($A91,'Institution Evaluation'!$A$56:$K$345,7,0)&amp;""</f>
        <v>Yes</v>
      </c>
      <c r="H91" s="315" t="str">
        <f>VLOOKUP($A91,'Institution Evaluation'!$A$56:$K$345,8,0)&amp;""</f>
        <v/>
      </c>
      <c r="I91" s="315" t="str">
        <f>VLOOKUP($A91,'Institution Evaluation'!$A$56:$K$345,9,0)&amp;""</f>
        <v>Standard Importance</v>
      </c>
      <c r="J91" s="315" t="str">
        <f>VLOOKUP($A91,'Institution Evaluation'!$A$56:$K$345,10,0)&amp;""</f>
        <v/>
      </c>
      <c r="K91" s="315">
        <f>IF($I91='Auto Responses'!$J$11,20,IF($I91='Auto Responses'!$J$13,5,10))</f>
        <v>10</v>
      </c>
      <c r="L91" s="284">
        <f>IF($E91='Auto Responses'!$L$13, 'Auto Responses'!$J$5,IF(AND($D91='Auto Responses'!$J$27,$H91=""),'Auto Responses'!$J$5,IF(AND($D91='Auto Responses'!$J$27,$H91='Auto Responses'!$J$7),1,IF(AND($D91='Auto Responses'!$J$27,$H91='Auto Responses'!$J$8),0,IF(OR(AND($F91=$G91,$H91=""),$H91='Auto Responses'!$J$7),1,0)))))</f>
        <v>0</v>
      </c>
      <c r="M91" s="315" t="str">
        <f>VLOOKUP($A91,'Institution Evaluation'!$A$56:$K$345,11,0)&amp;""</f>
        <v>FALSCH</v>
      </c>
      <c r="N91" s="315">
        <f>IF($J91='Auto Responses'!$J$11,1,IF(AND($J91="",$I91='Auto Responses'!$J$11),1,0))</f>
        <v>0</v>
      </c>
      <c r="O91" s="284" t="str">
        <f>IF(OR($F$17='Auto Responses'!$J$4,$E91='Auto Responses'!$L$13,$F91='Auto Responses'!$J$5),'Auto Responses'!$J$5,IF($J91="",$K91,IF($J91='Auto Responses'!$J$13,5,IF($J91='Auto Responses'!$J$12,10,IF($J91='Auto Responses'!$J$11,20,0)))))</f>
        <v>N/A</v>
      </c>
      <c r="P91" s="284" t="str">
        <f>IF(OR($O91='Auto Responses'!$J$5,$L91='Auto Responses'!$J$5),'Auto Responses'!$J$5,$O91*$L91)</f>
        <v>N/A</v>
      </c>
      <c r="Q91" s="284">
        <f t="shared" si="8"/>
        <v>0</v>
      </c>
      <c r="R91" s="284">
        <f t="shared" si="12"/>
        <v>0</v>
      </c>
      <c r="S91" s="284">
        <f t="shared" si="9"/>
        <v>0</v>
      </c>
      <c r="T91" s="284">
        <f t="shared" si="10"/>
        <v>0</v>
      </c>
      <c r="U91" s="284">
        <f t="shared" si="13"/>
        <v>31</v>
      </c>
      <c r="V91" s="284">
        <f t="shared" si="11"/>
        <v>0</v>
      </c>
    </row>
    <row r="92" spans="1:22" ht="55.5" customHeight="1" x14ac:dyDescent="0.2">
      <c r="A92" s="315" t="str">
        <f>Questions!$A92</f>
        <v>AAAI-15</v>
      </c>
      <c r="B92" s="315" t="str">
        <f t="shared" si="7"/>
        <v>AAAI</v>
      </c>
      <c r="C92" s="315" t="str">
        <f>VLOOKUP($A92,Questions!$A$3:$L$333,2,0)&amp;""</f>
        <v>Does your solution support any of the following web SSO standards: SAML2 (with redirect flow), OIDC, CAS, or other?</v>
      </c>
      <c r="D92" s="315" t="str">
        <f>VLOOKUP($A92,Questions!$A$3:$L$333,11,0)&amp;""</f>
        <v/>
      </c>
      <c r="E92" s="315" t="str">
        <f>VLOOKUP($A92,Questions!$A$3:$L$333,12,0)&amp;""</f>
        <v>Product</v>
      </c>
      <c r="F92" s="315" t="str">
        <f>VLOOKUP($A92,'Institution Evaluation'!$A$56:$K$345,3,0)&amp;""</f>
        <v>N/A</v>
      </c>
      <c r="G92" s="315" t="str">
        <f>VLOOKUP($A92,'Institution Evaluation'!$A$56:$K$345,7,0)&amp;""</f>
        <v>Yes</v>
      </c>
      <c r="H92" s="315" t="str">
        <f>VLOOKUP($A92,'Institution Evaluation'!$A$56:$K$345,8,0)&amp;""</f>
        <v/>
      </c>
      <c r="I92" s="315" t="str">
        <f>VLOOKUP($A92,'Institution Evaluation'!$A$56:$K$345,9,0)&amp;""</f>
        <v>Minor Importance</v>
      </c>
      <c r="J92" s="315" t="str">
        <f>VLOOKUP($A92,'Institution Evaluation'!$A$56:$K$345,10,0)&amp;""</f>
        <v/>
      </c>
      <c r="K92" s="315">
        <f>IF($I92='Auto Responses'!$J$11,20,IF($I92='Auto Responses'!$J$13,5,10))</f>
        <v>5</v>
      </c>
      <c r="L92" s="284">
        <f>IF($E92='Auto Responses'!$L$13, 'Auto Responses'!$J$5,IF(AND($D92='Auto Responses'!$J$27,$H92=""),'Auto Responses'!$J$5,IF(AND($D92='Auto Responses'!$J$27,$H92='Auto Responses'!$J$7),1,IF(AND($D92='Auto Responses'!$J$27,$H92='Auto Responses'!$J$8),0,IF(OR(AND($F92=$G92,$H92=""),$H92='Auto Responses'!$J$7),1,0)))))</f>
        <v>0</v>
      </c>
      <c r="M92" s="315" t="str">
        <f>VLOOKUP($A92,'Institution Evaluation'!$A$56:$K$345,11,0)&amp;""</f>
        <v>FALSCH</v>
      </c>
      <c r="N92" s="315">
        <f>IF($J92='Auto Responses'!$J$11,1,IF(AND($J92="",$I92='Auto Responses'!$J$11),1,0))</f>
        <v>0</v>
      </c>
      <c r="O92" s="284" t="str">
        <f>IF(OR($F$17='Auto Responses'!$J$4,$E92='Auto Responses'!$L$13,$F92='Auto Responses'!$J$5),'Auto Responses'!$J$5,IF($J92="",$K92,IF($J92='Auto Responses'!$J$13,5,IF($J92='Auto Responses'!$J$12,10,IF($J92='Auto Responses'!$J$11,20,0)))))</f>
        <v>N/A</v>
      </c>
      <c r="P92" s="284" t="str">
        <f>IF(OR($O92='Auto Responses'!$J$5,$L92='Auto Responses'!$J$5),'Auto Responses'!$J$5,$O92*$L92)</f>
        <v>N/A</v>
      </c>
      <c r="Q92" s="284">
        <f t="shared" si="8"/>
        <v>0</v>
      </c>
      <c r="R92" s="284">
        <f t="shared" si="12"/>
        <v>0</v>
      </c>
      <c r="S92" s="284">
        <f t="shared" si="9"/>
        <v>0</v>
      </c>
      <c r="T92" s="284">
        <f t="shared" si="10"/>
        <v>0</v>
      </c>
      <c r="U92" s="284">
        <f t="shared" si="13"/>
        <v>31</v>
      </c>
      <c r="V92" s="284">
        <f t="shared" si="11"/>
        <v>0</v>
      </c>
    </row>
    <row r="93" spans="1:22" ht="55.5" customHeight="1" x14ac:dyDescent="0.2">
      <c r="A93" s="315" t="str">
        <f>Questions!$A93</f>
        <v>AAAI-16</v>
      </c>
      <c r="B93" s="315" t="str">
        <f t="shared" si="7"/>
        <v>AAAI</v>
      </c>
      <c r="C93" s="315" t="str">
        <f>VLOOKUP($A93,Questions!$A$3:$L$333,2,0)&amp;""</f>
        <v>Do you support differentiation between email address and user identifier?</v>
      </c>
      <c r="D93" s="315" t="str">
        <f>VLOOKUP($A93,Questions!$A$3:$L$333,11,0)&amp;""</f>
        <v/>
      </c>
      <c r="E93" s="315" t="str">
        <f>VLOOKUP($A93,Questions!$A$3:$L$333,12,0)&amp;""</f>
        <v>Product</v>
      </c>
      <c r="F93" s="315" t="str">
        <f>VLOOKUP($A93,'Institution Evaluation'!$A$56:$K$345,3,0)&amp;""</f>
        <v>N/A</v>
      </c>
      <c r="G93" s="315" t="str">
        <f>VLOOKUP($A93,'Institution Evaluation'!$A$56:$K$345,7,0)&amp;""</f>
        <v>Yes</v>
      </c>
      <c r="H93" s="315" t="str">
        <f>VLOOKUP($A93,'Institution Evaluation'!$A$56:$K$345,8,0)&amp;""</f>
        <v/>
      </c>
      <c r="I93" s="315" t="str">
        <f>VLOOKUP($A93,'Institution Evaluation'!$A$56:$K$345,9,0)&amp;""</f>
        <v>Minor Importance</v>
      </c>
      <c r="J93" s="315" t="str">
        <f>VLOOKUP($A93,'Institution Evaluation'!$A$56:$K$345,10,0)&amp;""</f>
        <v/>
      </c>
      <c r="K93" s="315">
        <f>IF($I93='Auto Responses'!$J$11,20,IF($I93='Auto Responses'!$J$13,5,10))</f>
        <v>5</v>
      </c>
      <c r="L93" s="284">
        <f>IF($E93='Auto Responses'!$L$13, 'Auto Responses'!$J$5,IF(AND($D93='Auto Responses'!$J$27,$H93=""),'Auto Responses'!$J$5,IF(AND($D93='Auto Responses'!$J$27,$H93='Auto Responses'!$J$7),1,IF(AND($D93='Auto Responses'!$J$27,$H93='Auto Responses'!$J$8),0,IF(OR(AND($F93=$G93,$H93=""),$H93='Auto Responses'!$J$7),1,0)))))</f>
        <v>0</v>
      </c>
      <c r="M93" s="315" t="str">
        <f>VLOOKUP($A93,'Institution Evaluation'!$A$56:$K$345,11,0)&amp;""</f>
        <v>FALSCH</v>
      </c>
      <c r="N93" s="315">
        <f>IF($J93='Auto Responses'!$J$11,1,IF(AND($J93="",$I93='Auto Responses'!$J$11),1,0))</f>
        <v>0</v>
      </c>
      <c r="O93" s="284" t="str">
        <f>IF(OR($F$17='Auto Responses'!$J$4,$E93='Auto Responses'!$L$13,$F93='Auto Responses'!$J$5),'Auto Responses'!$J$5,IF($J93="",$K93,IF($J93='Auto Responses'!$J$13,5,IF($J93='Auto Responses'!$J$12,10,IF($J93='Auto Responses'!$J$11,20,0)))))</f>
        <v>N/A</v>
      </c>
      <c r="P93" s="284" t="str">
        <f>IF(OR($O93='Auto Responses'!$J$5,$L93='Auto Responses'!$J$5),'Auto Responses'!$J$5,$O93*$L93)</f>
        <v>N/A</v>
      </c>
      <c r="Q93" s="284">
        <f t="shared" si="8"/>
        <v>0</v>
      </c>
      <c r="R93" s="284">
        <f t="shared" si="12"/>
        <v>0</v>
      </c>
      <c r="S93" s="284">
        <f t="shared" si="9"/>
        <v>0</v>
      </c>
      <c r="T93" s="284">
        <f t="shared" si="10"/>
        <v>0</v>
      </c>
      <c r="U93" s="284">
        <f t="shared" si="13"/>
        <v>31</v>
      </c>
      <c r="V93" s="284">
        <f t="shared" si="11"/>
        <v>0</v>
      </c>
    </row>
    <row r="94" spans="1:22" ht="55.5" customHeight="1" x14ac:dyDescent="0.2">
      <c r="A94" s="315" t="str">
        <f>Questions!$A94</f>
        <v>AAAI-17</v>
      </c>
      <c r="B94" s="315" t="str">
        <f t="shared" si="7"/>
        <v>AAAI</v>
      </c>
      <c r="C94" s="315" t="str">
        <f>VLOOKUP($A94,Questions!$A$3:$L$333,2,0)&amp;""</f>
        <v>For customers not using SSO, does your application and/or user frontend/portal support multifactor authentication (e.g., Duo, Google Authenticator, OTP, etc.)?</v>
      </c>
      <c r="D94" s="315" t="str">
        <f>VLOOKUP($A94,Questions!$A$3:$L$333,11,0)&amp;""</f>
        <v/>
      </c>
      <c r="E94" s="315" t="str">
        <f>VLOOKUP($A94,Questions!$A$3:$L$333,12,0)&amp;""</f>
        <v>Product</v>
      </c>
      <c r="F94" s="315" t="str">
        <f>VLOOKUP($A94,'Institution Evaluation'!$A$56:$K$345,3,0)&amp;""</f>
        <v>N/A</v>
      </c>
      <c r="G94" s="315" t="str">
        <f>VLOOKUP($A94,'Institution Evaluation'!$A$56:$K$345,7,0)&amp;""</f>
        <v>Yes</v>
      </c>
      <c r="H94" s="315" t="str">
        <f>VLOOKUP($A94,'Institution Evaluation'!$A$56:$K$345,8,0)&amp;""</f>
        <v/>
      </c>
      <c r="I94" s="315" t="str">
        <f>VLOOKUP($A94,'Institution Evaluation'!$A$56:$K$345,9,0)&amp;""</f>
        <v>Minor Importance</v>
      </c>
      <c r="J94" s="315" t="str">
        <f>VLOOKUP($A94,'Institution Evaluation'!$A$56:$K$345,10,0)&amp;""</f>
        <v/>
      </c>
      <c r="K94" s="315">
        <f>IF($I94='Auto Responses'!$J$11,20,IF($I94='Auto Responses'!$J$13,5,10))</f>
        <v>5</v>
      </c>
      <c r="L94" s="284">
        <f>IF($E94='Auto Responses'!$L$13, 'Auto Responses'!$J$5,IF(AND($D94='Auto Responses'!$J$27,$H94=""),'Auto Responses'!$J$5,IF(AND($D94='Auto Responses'!$J$27,$H94='Auto Responses'!$J$7),1,IF(AND($D94='Auto Responses'!$J$27,$H94='Auto Responses'!$J$8),0,IF(OR(AND($F94=$G94,$H94=""),$H94='Auto Responses'!$J$7),1,0)))))</f>
        <v>0</v>
      </c>
      <c r="M94" s="315" t="str">
        <f>VLOOKUP($A94,'Institution Evaluation'!$A$56:$K$345,11,0)&amp;""</f>
        <v>FALSCH</v>
      </c>
      <c r="N94" s="315">
        <f>IF($J94='Auto Responses'!$J$11,1,IF(AND($J94="",$I94='Auto Responses'!$J$11),1,0))</f>
        <v>0</v>
      </c>
      <c r="O94" s="284" t="str">
        <f>IF(OR($F$17='Auto Responses'!$J$4,$E94='Auto Responses'!$L$13,$F94='Auto Responses'!$J$5),'Auto Responses'!$J$5,IF($J94="",$K94,IF($J94='Auto Responses'!$J$13,5,IF($J94='Auto Responses'!$J$12,10,IF($J94='Auto Responses'!$J$11,20,0)))))</f>
        <v>N/A</v>
      </c>
      <c r="P94" s="284" t="str">
        <f>IF(OR($O94='Auto Responses'!$J$5,$L94='Auto Responses'!$J$5),'Auto Responses'!$J$5,$O94*$L94)</f>
        <v>N/A</v>
      </c>
      <c r="Q94" s="284">
        <f t="shared" si="8"/>
        <v>0</v>
      </c>
      <c r="R94" s="284">
        <f t="shared" si="12"/>
        <v>0</v>
      </c>
      <c r="S94" s="284">
        <f t="shared" si="9"/>
        <v>0</v>
      </c>
      <c r="T94" s="284">
        <f t="shared" si="10"/>
        <v>0</v>
      </c>
      <c r="U94" s="284">
        <f t="shared" si="13"/>
        <v>31</v>
      </c>
      <c r="V94" s="284">
        <f t="shared" si="11"/>
        <v>0</v>
      </c>
    </row>
    <row r="95" spans="1:22" ht="55.5" customHeight="1" x14ac:dyDescent="0.2">
      <c r="A95" s="315" t="str">
        <f>Questions!$A95</f>
        <v>AAAI-18</v>
      </c>
      <c r="B95" s="315" t="str">
        <f t="shared" si="7"/>
        <v>AAAI</v>
      </c>
      <c r="C95" s="315" t="str">
        <f>VLOOKUP($A95,Questions!$A$3:$L$333,2,0)&amp;""</f>
        <v>Does your application automatically lock the session or log out an account after a period of inactivity?</v>
      </c>
      <c r="D95" s="315" t="str">
        <f>VLOOKUP($A95,Questions!$A$3:$L$333,11,0)&amp;""</f>
        <v/>
      </c>
      <c r="E95" s="315" t="str">
        <f>VLOOKUP($A95,Questions!$A$3:$L$333,12,0)&amp;""</f>
        <v>Product</v>
      </c>
      <c r="F95" s="315" t="str">
        <f>VLOOKUP($A95,'Institution Evaluation'!$A$56:$K$345,3,0)&amp;""</f>
        <v>N/A</v>
      </c>
      <c r="G95" s="315" t="str">
        <f>VLOOKUP($A95,'Institution Evaluation'!$A$56:$K$345,7,0)&amp;""</f>
        <v>Yes</v>
      </c>
      <c r="H95" s="315" t="str">
        <f>VLOOKUP($A95,'Institution Evaluation'!$A$56:$K$345,8,0)&amp;""</f>
        <v/>
      </c>
      <c r="I95" s="315" t="str">
        <f>VLOOKUP($A95,'Institution Evaluation'!$A$56:$K$345,9,0)&amp;""</f>
        <v>Minor Importance</v>
      </c>
      <c r="J95" s="315" t="str">
        <f>VLOOKUP($A95,'Institution Evaluation'!$A$56:$K$345,10,0)&amp;""</f>
        <v/>
      </c>
      <c r="K95" s="315">
        <f>IF($I95='Auto Responses'!$J$11,20,IF($I95='Auto Responses'!$J$13,5,10))</f>
        <v>5</v>
      </c>
      <c r="L95" s="284">
        <f>IF($E95='Auto Responses'!$L$13, 'Auto Responses'!$J$5,IF(AND($D95='Auto Responses'!$J$27,$H95=""),'Auto Responses'!$J$5,IF(AND($D95='Auto Responses'!$J$27,$H95='Auto Responses'!$J$7),1,IF(AND($D95='Auto Responses'!$J$27,$H95='Auto Responses'!$J$8),0,IF(OR(AND($F95=$G95,$H95=""),$H95='Auto Responses'!$J$7),1,0)))))</f>
        <v>0</v>
      </c>
      <c r="M95" s="315" t="str">
        <f>VLOOKUP($A95,'Institution Evaluation'!$A$56:$K$345,11,0)&amp;""</f>
        <v>FALSCH</v>
      </c>
      <c r="N95" s="315">
        <f>IF($J95='Auto Responses'!$J$11,1,IF(AND($J95="",$I95='Auto Responses'!$J$11),1,0))</f>
        <v>0</v>
      </c>
      <c r="O95" s="284" t="str">
        <f>IF(OR($F$17='Auto Responses'!$J$4,$E95='Auto Responses'!$L$13,$F95='Auto Responses'!$J$5),'Auto Responses'!$J$5,IF($J95="",$K95,IF($J95='Auto Responses'!$J$13,5,IF($J95='Auto Responses'!$J$12,10,IF($J95='Auto Responses'!$J$11,20,0)))))</f>
        <v>N/A</v>
      </c>
      <c r="P95" s="284" t="str">
        <f>IF(OR($O95='Auto Responses'!$J$5,$L95='Auto Responses'!$J$5),'Auto Responses'!$J$5,$O95*$L95)</f>
        <v>N/A</v>
      </c>
      <c r="Q95" s="284">
        <f t="shared" si="8"/>
        <v>0</v>
      </c>
      <c r="R95" s="284">
        <f t="shared" si="12"/>
        <v>0</v>
      </c>
      <c r="S95" s="284">
        <f t="shared" si="9"/>
        <v>0</v>
      </c>
      <c r="T95" s="284">
        <f t="shared" si="10"/>
        <v>0</v>
      </c>
      <c r="U95" s="284">
        <f t="shared" si="13"/>
        <v>31</v>
      </c>
      <c r="V95" s="284">
        <f t="shared" si="11"/>
        <v>0</v>
      </c>
    </row>
    <row r="96" spans="1:22" ht="55.5" customHeight="1" x14ac:dyDescent="0.2">
      <c r="A96" s="315" t="str">
        <f>Questions!$A96</f>
        <v>CHNG-01</v>
      </c>
      <c r="B96" s="315" t="str">
        <f t="shared" si="7"/>
        <v>CHNG</v>
      </c>
      <c r="C96" s="315" t="str">
        <f>VLOOKUP($A96,Questions!$A$3:$L$333,2,0)&amp;""</f>
        <v>Will the institution be notified of major changes to your environment that could impact the institution's security posture?*</v>
      </c>
      <c r="D96" s="315" t="str">
        <f>VLOOKUP($A96,Questions!$A$3:$L$333,11,0)&amp;""</f>
        <v/>
      </c>
      <c r="E96" s="315" t="str">
        <f>VLOOKUP($A96,Questions!$A$3:$L$333,12,0)&amp;""</f>
        <v>Organization</v>
      </c>
      <c r="F96" s="315" t="str">
        <f>VLOOKUP($A96,'Institution Evaluation'!$A$56:$K$345,3,0)&amp;""</f>
        <v>Yes</v>
      </c>
      <c r="G96" s="315" t="str">
        <f>VLOOKUP($A96,'Institution Evaluation'!$A$56:$K$345,7,0)&amp;""</f>
        <v>Yes</v>
      </c>
      <c r="H96" s="315" t="str">
        <f>VLOOKUP($A96,'Institution Evaluation'!$A$56:$K$345,8,0)&amp;""</f>
        <v/>
      </c>
      <c r="I96" s="315" t="str">
        <f>VLOOKUP($A96,'Institution Evaluation'!$A$56:$K$345,9,0)&amp;""</f>
        <v>Critical Importance</v>
      </c>
      <c r="J96" s="315" t="str">
        <f>VLOOKUP($A96,'Institution Evaluation'!$A$56:$K$345,10,0)&amp;""</f>
        <v/>
      </c>
      <c r="K96" s="315">
        <f>IF($I96='Auto Responses'!$J$11,20,IF($I96='Auto Responses'!$J$13,5,10))</f>
        <v>20</v>
      </c>
      <c r="L96" s="284">
        <f>IF($E96='Auto Responses'!$L$13, 'Auto Responses'!$J$5,IF(AND($D96='Auto Responses'!$J$27,$H96=""),'Auto Responses'!$J$5,IF(AND($D96='Auto Responses'!$J$27,$H96='Auto Responses'!$J$7),1,IF(AND($D96='Auto Responses'!$J$27,$H96='Auto Responses'!$J$8),0,IF(OR(AND($F96=$G96,$H96=""),$H96='Auto Responses'!$J$7),1,0)))))</f>
        <v>1</v>
      </c>
      <c r="M96" s="315" t="str">
        <f>VLOOKUP($A96,'Institution Evaluation'!$A$56:$K$345,11,0)&amp;""</f>
        <v>FALSCH</v>
      </c>
      <c r="N96" s="315">
        <f>IF($J96='Auto Responses'!$J$11,1,IF(AND($J96="",$I96='Auto Responses'!$J$11),1,0))</f>
        <v>1</v>
      </c>
      <c r="O96" s="284">
        <f>IF(OR($E96='Auto Responses'!$L$13,$F96='Auto Responses'!$J$5),'Auto Responses'!$J$5,IF($J96="",$K96,IF($J96='Auto Responses'!$J$13,5,IF($J96='Auto Responses'!$J$12,10,IF($J96='Auto Responses'!$J$11,20,0)))))</f>
        <v>20</v>
      </c>
      <c r="P96" s="284">
        <f>IF(OR($O96='Auto Responses'!$J$5,$L96='Auto Responses'!$J$5),'Auto Responses'!$J$5,$O96*$L96)</f>
        <v>20</v>
      </c>
      <c r="Q96" s="284">
        <f t="shared" si="8"/>
        <v>0</v>
      </c>
      <c r="R96" s="284">
        <f t="shared" si="12"/>
        <v>0</v>
      </c>
      <c r="S96" s="284">
        <f t="shared" si="9"/>
        <v>0</v>
      </c>
      <c r="T96" s="284">
        <f t="shared" si="10"/>
        <v>1</v>
      </c>
      <c r="U96" s="284">
        <f t="shared" si="13"/>
        <v>32</v>
      </c>
      <c r="V96" s="284">
        <f t="shared" si="11"/>
        <v>32</v>
      </c>
    </row>
    <row r="97" spans="1:22" ht="55.5" customHeight="1" x14ac:dyDescent="0.2">
      <c r="A97" s="315" t="str">
        <f>Questions!$A97</f>
        <v>CHNG-02</v>
      </c>
      <c r="B97" s="315" t="str">
        <f t="shared" si="7"/>
        <v>CHNG</v>
      </c>
      <c r="C97" s="315" t="str">
        <f>VLOOKUP($A97,Questions!$A$3:$L$333,2,0)&amp;""</f>
        <v>Does the system support client customizations from one release to another?*</v>
      </c>
      <c r="D97" s="315" t="str">
        <f>VLOOKUP($A97,Questions!$A$3:$L$333,11,0)&amp;""</f>
        <v/>
      </c>
      <c r="E97" s="315" t="str">
        <f>VLOOKUP($A97,Questions!$A$3:$L$333,12,0)&amp;""</f>
        <v>Organization</v>
      </c>
      <c r="F97" s="315" t="str">
        <f>VLOOKUP($A97,'Institution Evaluation'!$A$56:$K$345,3,0)&amp;""</f>
        <v>N/A</v>
      </c>
      <c r="G97" s="315" t="str">
        <f>VLOOKUP($A97,'Institution Evaluation'!$A$56:$K$345,7,0)&amp;""</f>
        <v>Yes</v>
      </c>
      <c r="H97" s="315" t="str">
        <f>VLOOKUP($A97,'Institution Evaluation'!$A$56:$K$345,8,0)&amp;""</f>
        <v/>
      </c>
      <c r="I97" s="315" t="str">
        <f>VLOOKUP($A97,'Institution Evaluation'!$A$56:$K$345,9,0)&amp;""</f>
        <v>Critical Importance</v>
      </c>
      <c r="J97" s="315" t="str">
        <f>VLOOKUP($A97,'Institution Evaluation'!$A$56:$K$345,10,0)&amp;""</f>
        <v/>
      </c>
      <c r="K97" s="315">
        <f>IF($I97='Auto Responses'!$J$11,20,IF($I97='Auto Responses'!$J$13,5,10))</f>
        <v>20</v>
      </c>
      <c r="L97" s="284">
        <f>IF($E97='Auto Responses'!$L$13, 'Auto Responses'!$J$5,IF(AND($D97='Auto Responses'!$J$27,$H97=""),'Auto Responses'!$J$5,IF(AND($D97='Auto Responses'!$J$27,$H97='Auto Responses'!$J$7),1,IF(AND($D97='Auto Responses'!$J$27,$H97='Auto Responses'!$J$8),0,IF(OR(AND($F97=$G97,$H97=""),$H97='Auto Responses'!$J$7),1,0)))))</f>
        <v>0</v>
      </c>
      <c r="M97" s="315" t="str">
        <f>VLOOKUP($A97,'Institution Evaluation'!$A$56:$K$345,11,0)&amp;""</f>
        <v>FALSCH</v>
      </c>
      <c r="N97" s="315">
        <f>IF($J97='Auto Responses'!$J$11,1,IF(AND($J97="",$I97='Auto Responses'!$J$11),1,0))</f>
        <v>1</v>
      </c>
      <c r="O97" s="284" t="str">
        <f>IF(OR($E97='Auto Responses'!$L$13,$F97='Auto Responses'!$J$5),'Auto Responses'!$J$5,IF($J97="",$K97,IF($J97='Auto Responses'!$J$13,5,IF($J97='Auto Responses'!$J$12,10,IF($J97='Auto Responses'!$J$11,20,0)))))</f>
        <v>N/A</v>
      </c>
      <c r="P97" s="284" t="str">
        <f>IF(OR($O97='Auto Responses'!$J$5,$L97='Auto Responses'!$J$5),'Auto Responses'!$J$5,$O97*$L97)</f>
        <v>N/A</v>
      </c>
      <c r="Q97" s="284">
        <f t="shared" si="8"/>
        <v>0</v>
      </c>
      <c r="R97" s="284">
        <f t="shared" si="12"/>
        <v>0</v>
      </c>
      <c r="S97" s="284">
        <f t="shared" si="9"/>
        <v>0</v>
      </c>
      <c r="T97" s="284">
        <f t="shared" si="10"/>
        <v>1</v>
      </c>
      <c r="U97" s="284">
        <f t="shared" si="13"/>
        <v>33</v>
      </c>
      <c r="V97" s="284">
        <f t="shared" si="11"/>
        <v>33</v>
      </c>
    </row>
    <row r="98" spans="1:22" ht="55.5" customHeight="1" x14ac:dyDescent="0.2">
      <c r="A98" s="315" t="str">
        <f>Questions!$A98</f>
        <v>CHNG-03</v>
      </c>
      <c r="B98" s="315" t="str">
        <f t="shared" si="7"/>
        <v>CHNG</v>
      </c>
      <c r="C98" s="315" t="str">
        <f>VLOOKUP($A98,Questions!$A$3:$L$333,2,0)&amp;""</f>
        <v>Do you have an implemented system configuration management process (e.g., secure "gold" images, etc.)?*</v>
      </c>
      <c r="D98" s="315" t="str">
        <f>VLOOKUP($A98,Questions!$A$3:$L$333,11,0)&amp;""</f>
        <v/>
      </c>
      <c r="E98" s="315" t="str">
        <f>VLOOKUP($A98,Questions!$A$3:$L$333,12,0)&amp;""</f>
        <v>Organization</v>
      </c>
      <c r="F98" s="315" t="str">
        <f>VLOOKUP($A98,'Institution Evaluation'!$A$56:$K$345,3,0)&amp;""</f>
        <v>N/A</v>
      </c>
      <c r="G98" s="315" t="str">
        <f>VLOOKUP($A98,'Institution Evaluation'!$A$56:$K$345,7,0)&amp;""</f>
        <v>Yes</v>
      </c>
      <c r="H98" s="315" t="str">
        <f>VLOOKUP($A98,'Institution Evaluation'!$A$56:$K$345,8,0)&amp;""</f>
        <v/>
      </c>
      <c r="I98" s="315" t="str">
        <f>VLOOKUP($A98,'Institution Evaluation'!$A$56:$K$345,9,0)&amp;""</f>
        <v>Critical Importance</v>
      </c>
      <c r="J98" s="315" t="str">
        <f>VLOOKUP($A98,'Institution Evaluation'!$A$56:$K$345,10,0)&amp;""</f>
        <v/>
      </c>
      <c r="K98" s="315">
        <f>IF($I98='Auto Responses'!$J$11,20,IF($I98='Auto Responses'!$J$13,5,10))</f>
        <v>20</v>
      </c>
      <c r="L98" s="284">
        <f>IF($E98='Auto Responses'!$L$13, 'Auto Responses'!$J$5,IF(AND($D98='Auto Responses'!$J$27,$H98=""),'Auto Responses'!$J$5,IF(AND($D98='Auto Responses'!$J$27,$H98='Auto Responses'!$J$7),1,IF(AND($D98='Auto Responses'!$J$27,$H98='Auto Responses'!$J$8),0,IF(OR(AND($F98=$G98,$H98=""),$H98='Auto Responses'!$J$7),1,0)))))</f>
        <v>0</v>
      </c>
      <c r="M98" s="315" t="str">
        <f>VLOOKUP($A98,'Institution Evaluation'!$A$56:$K$345,11,0)&amp;""</f>
        <v>FALSCH</v>
      </c>
      <c r="N98" s="315">
        <f>IF($J98='Auto Responses'!$J$11,1,IF(AND($J98="",$I98='Auto Responses'!$J$11),1,0))</f>
        <v>1</v>
      </c>
      <c r="O98" s="284" t="str">
        <f>IF(OR($E98='Auto Responses'!$L$13,$F98='Auto Responses'!$J$5),'Auto Responses'!$J$5,IF($J98="",$K98,IF($J98='Auto Responses'!$J$13,5,IF($J98='Auto Responses'!$J$12,10,IF($J98='Auto Responses'!$J$11,20,0)))))</f>
        <v>N/A</v>
      </c>
      <c r="P98" s="284" t="str">
        <f>IF(OR($O98='Auto Responses'!$J$5,$L98='Auto Responses'!$J$5),'Auto Responses'!$J$5,$O98*$L98)</f>
        <v>N/A</v>
      </c>
      <c r="Q98" s="284">
        <f t="shared" si="8"/>
        <v>0</v>
      </c>
      <c r="R98" s="284">
        <f t="shared" si="12"/>
        <v>0</v>
      </c>
      <c r="S98" s="284">
        <f t="shared" si="9"/>
        <v>0</v>
      </c>
      <c r="T98" s="284">
        <f t="shared" si="10"/>
        <v>1</v>
      </c>
      <c r="U98" s="284">
        <f t="shared" si="13"/>
        <v>34</v>
      </c>
      <c r="V98" s="284">
        <f t="shared" si="11"/>
        <v>34</v>
      </c>
    </row>
    <row r="99" spans="1:22" ht="55.5" customHeight="1" x14ac:dyDescent="0.2">
      <c r="A99" s="315" t="str">
        <f>Questions!$A99</f>
        <v>CHNG-04</v>
      </c>
      <c r="B99" s="315" t="str">
        <f t="shared" si="7"/>
        <v>CHNG</v>
      </c>
      <c r="C99" s="315" t="str">
        <f>VLOOKUP($A99,Questions!$A$3:$L$333,2,0)&amp;""</f>
        <v>Do you have a documented change management process?</v>
      </c>
      <c r="D99" s="315" t="str">
        <f>VLOOKUP($A99,Questions!$A$3:$L$333,11,0)&amp;""</f>
        <v/>
      </c>
      <c r="E99" s="315" t="str">
        <f>VLOOKUP($A99,Questions!$A$3:$L$333,12,0)&amp;""</f>
        <v>Organization</v>
      </c>
      <c r="F99" s="315" t="str">
        <f>VLOOKUP($A99,'Institution Evaluation'!$A$56:$K$345,3,0)&amp;""</f>
        <v>Yes</v>
      </c>
      <c r="G99" s="315" t="str">
        <f>VLOOKUP($A99,'Institution Evaluation'!$A$56:$K$345,7,0)&amp;""</f>
        <v>Yes</v>
      </c>
      <c r="H99" s="315" t="str">
        <f>VLOOKUP($A99,'Institution Evaluation'!$A$56:$K$345,8,0)&amp;""</f>
        <v/>
      </c>
      <c r="I99" s="315" t="str">
        <f>VLOOKUP($A99,'Institution Evaluation'!$A$56:$K$345,9,0)&amp;""</f>
        <v>Standard Importance</v>
      </c>
      <c r="J99" s="315" t="str">
        <f>VLOOKUP($A99,'Institution Evaluation'!$A$56:$K$345,10,0)&amp;""</f>
        <v/>
      </c>
      <c r="K99" s="315">
        <f>IF($I99='Auto Responses'!$J$11,20,IF($I99='Auto Responses'!$J$13,5,10))</f>
        <v>10</v>
      </c>
      <c r="L99" s="284">
        <f>IF($E99='Auto Responses'!$L$13, 'Auto Responses'!$J$5,IF(AND($D99='Auto Responses'!$J$27,$H99=""),'Auto Responses'!$J$5,IF(AND($D99='Auto Responses'!$J$27,$H99='Auto Responses'!$J$7),1,IF(AND($D99='Auto Responses'!$J$27,$H99='Auto Responses'!$J$8),0,IF(OR(AND($F99=$G99,$H99=""),$H99='Auto Responses'!$J$7),1,0)))))</f>
        <v>1</v>
      </c>
      <c r="M99" s="315" t="str">
        <f>VLOOKUP($A99,'Institution Evaluation'!$A$56:$K$345,11,0)&amp;""</f>
        <v>FALSCH</v>
      </c>
      <c r="N99" s="315">
        <f>IF($J99='Auto Responses'!$J$11,1,IF(AND($J99="",$I99='Auto Responses'!$J$11),1,0))</f>
        <v>0</v>
      </c>
      <c r="O99" s="284">
        <f>IF(OR($E99='Auto Responses'!$L$13,$F99='Auto Responses'!$J$5),'Auto Responses'!$J$5,IF($J99="",$K99,IF($J99='Auto Responses'!$J$13,5,IF($J99='Auto Responses'!$J$12,10,IF($J99='Auto Responses'!$J$11,20,0)))))</f>
        <v>10</v>
      </c>
      <c r="P99" s="284">
        <f>IF(OR($O99='Auto Responses'!$J$5,$L99='Auto Responses'!$J$5),'Auto Responses'!$J$5,$O99*$L99)</f>
        <v>10</v>
      </c>
      <c r="Q99" s="284">
        <f t="shared" si="8"/>
        <v>0</v>
      </c>
      <c r="R99" s="284">
        <f t="shared" si="12"/>
        <v>0</v>
      </c>
      <c r="S99" s="284">
        <f t="shared" si="9"/>
        <v>0</v>
      </c>
      <c r="T99" s="284">
        <f t="shared" si="10"/>
        <v>0</v>
      </c>
      <c r="U99" s="284">
        <f t="shared" si="13"/>
        <v>34</v>
      </c>
      <c r="V99" s="284">
        <f t="shared" si="11"/>
        <v>0</v>
      </c>
    </row>
    <row r="100" spans="1:22" ht="55.5" customHeight="1" x14ac:dyDescent="0.2">
      <c r="A100" s="315" t="str">
        <f>Questions!$A100</f>
        <v>CHNG-05</v>
      </c>
      <c r="B100" s="315" t="str">
        <f t="shared" si="7"/>
        <v>CHNG</v>
      </c>
      <c r="C100" s="315" t="str">
        <f>VLOOKUP($A100,Questions!$A$3:$L$333,2,0)&amp;""</f>
        <v>Does your change management process minimally include authorization, impact analysis, testing, and validation before moving changes to production?</v>
      </c>
      <c r="D100" s="315" t="str">
        <f>VLOOKUP($A100,Questions!$A$3:$L$333,11,0)&amp;""</f>
        <v/>
      </c>
      <c r="E100" s="315" t="str">
        <f>VLOOKUP($A100,Questions!$A$3:$L$333,12,0)&amp;""</f>
        <v>Organization</v>
      </c>
      <c r="F100" s="315" t="str">
        <f>VLOOKUP($A100,'Institution Evaluation'!$A$56:$K$345,3,0)&amp;""</f>
        <v>Yes</v>
      </c>
      <c r="G100" s="315" t="str">
        <f>VLOOKUP($A100,'Institution Evaluation'!$A$56:$K$345,7,0)&amp;""</f>
        <v>Yes</v>
      </c>
      <c r="H100" s="315" t="str">
        <f>VLOOKUP($A100,'Institution Evaluation'!$A$56:$K$345,8,0)&amp;""</f>
        <v/>
      </c>
      <c r="I100" s="315" t="str">
        <f>VLOOKUP($A100,'Institution Evaluation'!$A$56:$K$345,9,0)&amp;""</f>
        <v>Standard Importance</v>
      </c>
      <c r="J100" s="315" t="str">
        <f>VLOOKUP($A100,'Institution Evaluation'!$A$56:$K$345,10,0)&amp;""</f>
        <v/>
      </c>
      <c r="K100" s="315">
        <f>IF($I100='Auto Responses'!$J$11,20,IF($I100='Auto Responses'!$J$13,5,10))</f>
        <v>10</v>
      </c>
      <c r="L100" s="284">
        <f>IF($E100='Auto Responses'!$L$13, 'Auto Responses'!$J$5,IF(AND($D100='Auto Responses'!$J$27,$H100=""),'Auto Responses'!$J$5,IF(AND($D100='Auto Responses'!$J$27,$H100='Auto Responses'!$J$7),1,IF(AND($D100='Auto Responses'!$J$27,$H100='Auto Responses'!$J$8),0,IF(OR(AND($F100=$G100,$H100=""),$H100='Auto Responses'!$J$7),1,0)))))</f>
        <v>1</v>
      </c>
      <c r="M100" s="315" t="str">
        <f>VLOOKUP($A100,'Institution Evaluation'!$A$56:$K$345,11,0)&amp;""</f>
        <v>FALSCH</v>
      </c>
      <c r="N100" s="315">
        <f>IF($J100='Auto Responses'!$J$11,1,IF(AND($J100="",$I100='Auto Responses'!$J$11),1,0))</f>
        <v>0</v>
      </c>
      <c r="O100" s="284">
        <f>IF(OR($E100='Auto Responses'!$L$13,$F100='Auto Responses'!$J$5),'Auto Responses'!$J$5,IF($J100="",$K100,IF($J100='Auto Responses'!$J$13,5,IF($J100='Auto Responses'!$J$12,10,IF($J100='Auto Responses'!$J$11,20,0)))))</f>
        <v>10</v>
      </c>
      <c r="P100" s="284">
        <f>IF(OR($O100='Auto Responses'!$J$5,$L100='Auto Responses'!$J$5),'Auto Responses'!$J$5,$O100*$L100)</f>
        <v>10</v>
      </c>
      <c r="Q100" s="284">
        <f t="shared" si="8"/>
        <v>0</v>
      </c>
      <c r="R100" s="284">
        <f t="shared" si="12"/>
        <v>0</v>
      </c>
      <c r="S100" s="284">
        <f t="shared" si="9"/>
        <v>0</v>
      </c>
      <c r="T100" s="284">
        <f t="shared" si="10"/>
        <v>0</v>
      </c>
      <c r="U100" s="284">
        <f t="shared" si="13"/>
        <v>34</v>
      </c>
      <c r="V100" s="284">
        <f t="shared" si="11"/>
        <v>0</v>
      </c>
    </row>
    <row r="101" spans="1:22" ht="55.5" customHeight="1" x14ac:dyDescent="0.2">
      <c r="A101" s="315" t="str">
        <f>Questions!$A101</f>
        <v>CHNG-06</v>
      </c>
      <c r="B101" s="315" t="str">
        <f t="shared" si="7"/>
        <v>CHNG</v>
      </c>
      <c r="C101" s="315" t="str">
        <f>VLOOKUP($A101,Questions!$A$3:$L$333,2,0)&amp;""</f>
        <v>Does your change management process verify that all required third-party libraries and dependencies are still supported with each major change?</v>
      </c>
      <c r="D101" s="315" t="str">
        <f>VLOOKUP($A101,Questions!$A$3:$L$333,11,0)&amp;""</f>
        <v/>
      </c>
      <c r="E101" s="315" t="str">
        <f>VLOOKUP($A101,Questions!$A$3:$L$333,12,0)&amp;""</f>
        <v>Organization</v>
      </c>
      <c r="F101" s="315" t="str">
        <f>VLOOKUP($A101,'Institution Evaluation'!$A$56:$K$345,3,0)&amp;""</f>
        <v>Yes</v>
      </c>
      <c r="G101" s="315" t="str">
        <f>VLOOKUP($A101,'Institution Evaluation'!$A$56:$K$345,7,0)&amp;""</f>
        <v>Yes</v>
      </c>
      <c r="H101" s="315" t="str">
        <f>VLOOKUP($A101,'Institution Evaluation'!$A$56:$K$345,8,0)&amp;""</f>
        <v/>
      </c>
      <c r="I101" s="315" t="str">
        <f>VLOOKUP($A101,'Institution Evaluation'!$A$56:$K$345,9,0)&amp;""</f>
        <v>Standard Importance</v>
      </c>
      <c r="J101" s="315" t="str">
        <f>VLOOKUP($A101,'Institution Evaluation'!$A$56:$K$345,10,0)&amp;""</f>
        <v/>
      </c>
      <c r="K101" s="315">
        <f>IF($I101='Auto Responses'!$J$11,20,IF($I101='Auto Responses'!$J$13,5,10))</f>
        <v>10</v>
      </c>
      <c r="L101" s="284">
        <f>IF($E101='Auto Responses'!$L$13, 'Auto Responses'!$J$5,IF(AND($D101='Auto Responses'!$J$27,$H101=""),'Auto Responses'!$J$5,IF(AND($D101='Auto Responses'!$J$27,$H101='Auto Responses'!$J$7),1,IF(AND($D101='Auto Responses'!$J$27,$H101='Auto Responses'!$J$8),0,IF(OR(AND($F101=$G101,$H101=""),$H101='Auto Responses'!$J$7),1,0)))))</f>
        <v>1</v>
      </c>
      <c r="M101" s="315" t="str">
        <f>VLOOKUP($A101,'Institution Evaluation'!$A$56:$K$345,11,0)&amp;""</f>
        <v>FALSCH</v>
      </c>
      <c r="N101" s="315">
        <f>IF($J101='Auto Responses'!$J$11,1,IF(AND($J101="",$I101='Auto Responses'!$J$11),1,0))</f>
        <v>0</v>
      </c>
      <c r="O101" s="284">
        <f>IF(OR($E101='Auto Responses'!$L$13,$F101='Auto Responses'!$J$5),'Auto Responses'!$J$5,IF($J101="",$K101,IF($J101='Auto Responses'!$J$13,5,IF($J101='Auto Responses'!$J$12,10,IF($J101='Auto Responses'!$J$11,20,0)))))</f>
        <v>10</v>
      </c>
      <c r="P101" s="284">
        <f>IF(OR($O101='Auto Responses'!$J$5,$L101='Auto Responses'!$J$5),'Auto Responses'!$J$5,$O101*$L101)</f>
        <v>10</v>
      </c>
      <c r="Q101" s="284">
        <f t="shared" si="8"/>
        <v>0</v>
      </c>
      <c r="R101" s="284">
        <f t="shared" si="12"/>
        <v>0</v>
      </c>
      <c r="S101" s="284">
        <f t="shared" si="9"/>
        <v>0</v>
      </c>
      <c r="T101" s="284">
        <f t="shared" si="10"/>
        <v>0</v>
      </c>
      <c r="U101" s="284">
        <f t="shared" si="13"/>
        <v>34</v>
      </c>
      <c r="V101" s="284">
        <f t="shared" si="11"/>
        <v>0</v>
      </c>
    </row>
    <row r="102" spans="1:22" ht="55.5" customHeight="1" x14ac:dyDescent="0.2">
      <c r="A102" s="315" t="str">
        <f>Questions!$A102</f>
        <v>CHNG-07</v>
      </c>
      <c r="B102" s="315" t="str">
        <f t="shared" si="7"/>
        <v>CHNG</v>
      </c>
      <c r="C102" s="315" t="str">
        <f>VLOOKUP($A102,Questions!$A$3:$L$333,2,0)&amp;""</f>
        <v>Do you have policy and procedure, currently implemented, managing how critical patches are applied to all systems and applications?</v>
      </c>
      <c r="D102" s="315" t="str">
        <f>VLOOKUP($A102,Questions!$A$3:$L$333,11,0)&amp;""</f>
        <v/>
      </c>
      <c r="E102" s="315" t="str">
        <f>VLOOKUP($A102,Questions!$A$3:$L$333,12,0)&amp;""</f>
        <v>Organization</v>
      </c>
      <c r="F102" s="315" t="str">
        <f>VLOOKUP($A102,'Institution Evaluation'!$A$56:$K$345,3,0)&amp;""</f>
        <v>Yes</v>
      </c>
      <c r="G102" s="315" t="str">
        <f>VLOOKUP($A102,'Institution Evaluation'!$A$56:$K$345,7,0)&amp;""</f>
        <v>Yes</v>
      </c>
      <c r="H102" s="315" t="str">
        <f>VLOOKUP($A102,'Institution Evaluation'!$A$56:$K$345,8,0)&amp;""</f>
        <v/>
      </c>
      <c r="I102" s="315" t="str">
        <f>VLOOKUP($A102,'Institution Evaluation'!$A$56:$K$345,9,0)&amp;""</f>
        <v>Standard Importance</v>
      </c>
      <c r="J102" s="315" t="str">
        <f>VLOOKUP($A102,'Institution Evaluation'!$A$56:$K$345,10,0)&amp;""</f>
        <v/>
      </c>
      <c r="K102" s="315">
        <f>IF($I102='Auto Responses'!$J$11,20,IF($I102='Auto Responses'!$J$13,5,10))</f>
        <v>10</v>
      </c>
      <c r="L102" s="284">
        <f>IF($E102='Auto Responses'!$L$13, 'Auto Responses'!$J$5,IF(AND($D102='Auto Responses'!$J$27,$H102=""),'Auto Responses'!$J$5,IF(AND($D102='Auto Responses'!$J$27,$H102='Auto Responses'!$J$7),1,IF(AND($D102='Auto Responses'!$J$27,$H102='Auto Responses'!$J$8),0,IF(OR(AND($F102=$G102,$H102=""),$H102='Auto Responses'!$J$7),1,0)))))</f>
        <v>1</v>
      </c>
      <c r="M102" s="315" t="str">
        <f>VLOOKUP($A102,'Institution Evaluation'!$A$56:$K$345,11,0)&amp;""</f>
        <v>FALSCH</v>
      </c>
      <c r="N102" s="315">
        <f>IF($J102='Auto Responses'!$J$11,1,IF(AND($J102="",$I102='Auto Responses'!$J$11),1,0))</f>
        <v>0</v>
      </c>
      <c r="O102" s="284">
        <f>IF(OR($E102='Auto Responses'!$L$13,$F102='Auto Responses'!$J$5),'Auto Responses'!$J$5,IF($J102="",$K102,IF($J102='Auto Responses'!$J$13,5,IF($J102='Auto Responses'!$J$12,10,IF($J102='Auto Responses'!$J$11,20,0)))))</f>
        <v>10</v>
      </c>
      <c r="P102" s="284">
        <f>IF(OR($O102='Auto Responses'!$J$5,$L102='Auto Responses'!$J$5),'Auto Responses'!$J$5,$O102*$L102)</f>
        <v>10</v>
      </c>
      <c r="Q102" s="284">
        <f t="shared" si="8"/>
        <v>0</v>
      </c>
      <c r="R102" s="284">
        <f t="shared" si="12"/>
        <v>0</v>
      </c>
      <c r="S102" s="284">
        <f t="shared" si="9"/>
        <v>0</v>
      </c>
      <c r="T102" s="284">
        <f t="shared" si="10"/>
        <v>0</v>
      </c>
      <c r="U102" s="284">
        <f t="shared" si="13"/>
        <v>34</v>
      </c>
      <c r="V102" s="284">
        <f t="shared" si="11"/>
        <v>0</v>
      </c>
    </row>
    <row r="103" spans="1:22" ht="55.5" customHeight="1" x14ac:dyDescent="0.2">
      <c r="A103" s="315" t="str">
        <f>Questions!$A103</f>
        <v>CHNG-08</v>
      </c>
      <c r="B103" s="315" t="str">
        <f t="shared" si="7"/>
        <v>CHNG</v>
      </c>
      <c r="C103" s="315" t="str">
        <f>VLOOKUP($A103,Questions!$A$3:$L$333,2,0)&amp;""</f>
        <v>Have you implemented policies and procedures that guide how security risks are mitigated until patches can be applied?</v>
      </c>
      <c r="D103" s="315" t="str">
        <f>VLOOKUP($A103,Questions!$A$3:$L$333,11,0)&amp;""</f>
        <v/>
      </c>
      <c r="E103" s="315" t="str">
        <f>VLOOKUP($A103,Questions!$A$3:$L$333,12,0)&amp;""</f>
        <v>Organization</v>
      </c>
      <c r="F103" s="315" t="str">
        <f>VLOOKUP($A103,'Institution Evaluation'!$A$56:$K$345,3,0)&amp;""</f>
        <v>No</v>
      </c>
      <c r="G103" s="315" t="str">
        <f>VLOOKUP($A103,'Institution Evaluation'!$A$56:$K$345,7,0)&amp;""</f>
        <v>Yes</v>
      </c>
      <c r="H103" s="315" t="str">
        <f>VLOOKUP($A103,'Institution Evaluation'!$A$56:$K$345,8,0)&amp;""</f>
        <v/>
      </c>
      <c r="I103" s="315" t="str">
        <f>VLOOKUP($A103,'Institution Evaluation'!$A$56:$K$345,9,0)&amp;""</f>
        <v>Standard Importance</v>
      </c>
      <c r="J103" s="315" t="str">
        <f>VLOOKUP($A103,'Institution Evaluation'!$A$56:$K$345,10,0)&amp;""</f>
        <v/>
      </c>
      <c r="K103" s="315">
        <f>IF($I103='Auto Responses'!$J$11,20,IF($I103='Auto Responses'!$J$13,5,10))</f>
        <v>10</v>
      </c>
      <c r="L103" s="284">
        <f>IF($E103='Auto Responses'!$L$13, 'Auto Responses'!$J$5,IF(AND($D103='Auto Responses'!$J$27,$H103=""),'Auto Responses'!$J$5,IF(AND($D103='Auto Responses'!$J$27,$H103='Auto Responses'!$J$7),1,IF(AND($D103='Auto Responses'!$J$27,$H103='Auto Responses'!$J$8),0,IF(OR(AND($F103=$G103,$H103=""),$H103='Auto Responses'!$J$7),1,0)))))</f>
        <v>0</v>
      </c>
      <c r="M103" s="315" t="str">
        <f>VLOOKUP($A103,'Institution Evaluation'!$A$56:$K$345,11,0)&amp;""</f>
        <v>FALSCH</v>
      </c>
      <c r="N103" s="315">
        <f>IF($J103='Auto Responses'!$J$11,1,IF(AND($J103="",$I103='Auto Responses'!$J$11),1,0))</f>
        <v>0</v>
      </c>
      <c r="O103" s="284">
        <f>IF(OR($E103='Auto Responses'!$L$13,$F103='Auto Responses'!$J$5),'Auto Responses'!$J$5,IF($J103="",$K103,IF($J103='Auto Responses'!$J$13,5,IF($J103='Auto Responses'!$J$12,10,IF($J103='Auto Responses'!$J$11,20,0)))))</f>
        <v>10</v>
      </c>
      <c r="P103" s="284">
        <f>IF(OR($O103='Auto Responses'!$J$5,$L103='Auto Responses'!$J$5),'Auto Responses'!$J$5,$O103*$L103)</f>
        <v>0</v>
      </c>
      <c r="Q103" s="284">
        <f t="shared" si="8"/>
        <v>0</v>
      </c>
      <c r="R103" s="284">
        <f t="shared" si="12"/>
        <v>0</v>
      </c>
      <c r="S103" s="284">
        <f t="shared" si="9"/>
        <v>0</v>
      </c>
      <c r="T103" s="284">
        <f t="shared" si="10"/>
        <v>0</v>
      </c>
      <c r="U103" s="284">
        <f t="shared" si="13"/>
        <v>34</v>
      </c>
      <c r="V103" s="284">
        <f t="shared" si="11"/>
        <v>0</v>
      </c>
    </row>
    <row r="104" spans="1:22" ht="55.5" customHeight="1" x14ac:dyDescent="0.2">
      <c r="A104" s="315" t="str">
        <f>Questions!$A104</f>
        <v>CHNG-09</v>
      </c>
      <c r="B104" s="315" t="str">
        <f t="shared" si="7"/>
        <v>CHNG</v>
      </c>
      <c r="C104" s="315" t="str">
        <f>VLOOKUP($A104,Questions!$A$3:$L$333,2,0)&amp;""</f>
        <v>Do clients have the option to not participate in or postpone an upgrade to a new release?</v>
      </c>
      <c r="D104" s="315" t="str">
        <f>VLOOKUP($A104,Questions!$A$3:$L$333,11,0)&amp;""</f>
        <v/>
      </c>
      <c r="E104" s="315" t="str">
        <f>VLOOKUP($A104,Questions!$A$3:$L$333,12,0)&amp;""</f>
        <v>Organization</v>
      </c>
      <c r="F104" s="315" t="str">
        <f>VLOOKUP($A104,'Institution Evaluation'!$A$56:$K$345,3,0)&amp;""</f>
        <v>Yes</v>
      </c>
      <c r="G104" s="315" t="str">
        <f>VLOOKUP($A104,'Institution Evaluation'!$A$56:$K$345,7,0)&amp;""</f>
        <v>Yes</v>
      </c>
      <c r="H104" s="315" t="str">
        <f>VLOOKUP($A104,'Institution Evaluation'!$A$56:$K$345,8,0)&amp;""</f>
        <v/>
      </c>
      <c r="I104" s="315" t="str">
        <f>VLOOKUP($A104,'Institution Evaluation'!$A$56:$K$345,9,0)&amp;""</f>
        <v>Minor Importance</v>
      </c>
      <c r="J104" s="315" t="str">
        <f>VLOOKUP($A104,'Institution Evaluation'!$A$56:$K$345,10,0)&amp;""</f>
        <v/>
      </c>
      <c r="K104" s="315">
        <f>IF($I104='Auto Responses'!$J$11,20,IF($I104='Auto Responses'!$J$13,5,10))</f>
        <v>5</v>
      </c>
      <c r="L104" s="284">
        <f>IF($E104='Auto Responses'!$L$13, 'Auto Responses'!$J$5,IF(AND($D104='Auto Responses'!$J$27,$H104=""),'Auto Responses'!$J$5,IF(AND($D104='Auto Responses'!$J$27,$H104='Auto Responses'!$J$7),1,IF(AND($D104='Auto Responses'!$J$27,$H104='Auto Responses'!$J$8),0,IF(OR(AND($F104=$G104,$H104=""),$H104='Auto Responses'!$J$7),1,0)))))</f>
        <v>1</v>
      </c>
      <c r="M104" s="315" t="str">
        <f>VLOOKUP($A104,'Institution Evaluation'!$A$56:$K$345,11,0)&amp;""</f>
        <v>FALSCH</v>
      </c>
      <c r="N104" s="315">
        <f>IF($J104='Auto Responses'!$J$11,1,IF(AND($J104="",$I104='Auto Responses'!$J$11),1,0))</f>
        <v>0</v>
      </c>
      <c r="O104" s="284">
        <f>IF(OR($E104='Auto Responses'!$L$13,$F104='Auto Responses'!$J$5),'Auto Responses'!$J$5,IF($J104="",$K104,IF($J104='Auto Responses'!$J$13,5,IF($J104='Auto Responses'!$J$12,10,IF($J104='Auto Responses'!$J$11,20,0)))))</f>
        <v>5</v>
      </c>
      <c r="P104" s="284">
        <f>IF(OR($O104='Auto Responses'!$J$5,$L104='Auto Responses'!$J$5),'Auto Responses'!$J$5,$O104*$L104)</f>
        <v>5</v>
      </c>
      <c r="Q104" s="284">
        <f t="shared" si="8"/>
        <v>0</v>
      </c>
      <c r="R104" s="284">
        <f t="shared" si="12"/>
        <v>0</v>
      </c>
      <c r="S104" s="284">
        <f t="shared" si="9"/>
        <v>0</v>
      </c>
      <c r="T104" s="284">
        <f t="shared" si="10"/>
        <v>0</v>
      </c>
      <c r="U104" s="284">
        <f t="shared" si="13"/>
        <v>34</v>
      </c>
      <c r="V104" s="284">
        <f t="shared" si="11"/>
        <v>0</v>
      </c>
    </row>
    <row r="105" spans="1:22" ht="55.5" customHeight="1" x14ac:dyDescent="0.2">
      <c r="A105" s="315" t="str">
        <f>Questions!$A105</f>
        <v>CHNG-10</v>
      </c>
      <c r="B105" s="315" t="str">
        <f t="shared" si="7"/>
        <v>CHNG</v>
      </c>
      <c r="C105" s="315" t="str">
        <f>VLOOKUP($A105,Questions!$A$3:$L$333,2,0)&amp;""</f>
        <v>Do you have a fully implemented solution support strategy that defines how many concurrent versions you support?</v>
      </c>
      <c r="D105" s="315" t="str">
        <f>VLOOKUP($A105,Questions!$A$3:$L$333,11,0)&amp;""</f>
        <v/>
      </c>
      <c r="E105" s="315" t="str">
        <f>VLOOKUP($A105,Questions!$A$3:$L$333,12,0)&amp;""</f>
        <v>Organization</v>
      </c>
      <c r="F105" s="315" t="str">
        <f>VLOOKUP($A105,'Institution Evaluation'!$A$56:$K$345,3,0)&amp;""</f>
        <v>No</v>
      </c>
      <c r="G105" s="315" t="str">
        <f>VLOOKUP($A105,'Institution Evaluation'!$A$56:$K$345,7,0)&amp;""</f>
        <v>Yes</v>
      </c>
      <c r="H105" s="315" t="str">
        <f>VLOOKUP($A105,'Institution Evaluation'!$A$56:$K$345,8,0)&amp;""</f>
        <v/>
      </c>
      <c r="I105" s="315" t="str">
        <f>VLOOKUP($A105,'Institution Evaluation'!$A$56:$K$345,9,0)&amp;""</f>
        <v>Minor Importance</v>
      </c>
      <c r="J105" s="315" t="str">
        <f>VLOOKUP($A105,'Institution Evaluation'!$A$56:$K$345,10,0)&amp;""</f>
        <v/>
      </c>
      <c r="K105" s="315">
        <f>IF($I105='Auto Responses'!$J$11,20,IF($I105='Auto Responses'!$J$13,5,10))</f>
        <v>5</v>
      </c>
      <c r="L105" s="284">
        <f>IF($E105='Auto Responses'!$L$13, 'Auto Responses'!$J$5,IF(AND($D105='Auto Responses'!$J$27,$H105=""),'Auto Responses'!$J$5,IF(AND($D105='Auto Responses'!$J$27,$H105='Auto Responses'!$J$7),1,IF(AND($D105='Auto Responses'!$J$27,$H105='Auto Responses'!$J$8),0,IF(OR(AND($F105=$G105,$H105=""),$H105='Auto Responses'!$J$7),1,0)))))</f>
        <v>0</v>
      </c>
      <c r="M105" s="315" t="str">
        <f>VLOOKUP($A105,'Institution Evaluation'!$A$56:$K$345,11,0)&amp;""</f>
        <v>FALSCH</v>
      </c>
      <c r="N105" s="315">
        <f>IF($J105='Auto Responses'!$J$11,1,IF(AND($J105="",$I105='Auto Responses'!$J$11),1,0))</f>
        <v>0</v>
      </c>
      <c r="O105" s="284">
        <f>IF(OR($E105='Auto Responses'!$L$13,$F105='Auto Responses'!$J$5),'Auto Responses'!$J$5,IF($J105="",$K105,IF($J105='Auto Responses'!$J$13,5,IF($J105='Auto Responses'!$J$12,10,IF($J105='Auto Responses'!$J$11,20,0)))))</f>
        <v>5</v>
      </c>
      <c r="P105" s="284">
        <f>IF(OR($O105='Auto Responses'!$J$5,$L105='Auto Responses'!$J$5),'Auto Responses'!$J$5,$O105*$L105)</f>
        <v>0</v>
      </c>
      <c r="Q105" s="284">
        <f t="shared" si="8"/>
        <v>0</v>
      </c>
      <c r="R105" s="284">
        <f t="shared" si="12"/>
        <v>0</v>
      </c>
      <c r="S105" s="284">
        <f t="shared" si="9"/>
        <v>0</v>
      </c>
      <c r="T105" s="284">
        <f t="shared" si="10"/>
        <v>0</v>
      </c>
      <c r="U105" s="284">
        <f t="shared" si="13"/>
        <v>34</v>
      </c>
      <c r="V105" s="284">
        <f t="shared" si="11"/>
        <v>0</v>
      </c>
    </row>
    <row r="106" spans="1:22" ht="55.5" customHeight="1" x14ac:dyDescent="0.2">
      <c r="A106" s="315" t="str">
        <f>Questions!$A106</f>
        <v>CHNG-11</v>
      </c>
      <c r="B106" s="315" t="str">
        <f t="shared" si="7"/>
        <v>CHNG</v>
      </c>
      <c r="C106" s="315" t="str">
        <f>VLOOKUP($A106,Questions!$A$3:$L$333,2,0)&amp;""</f>
        <v>Do you have a release schedule for product updates?</v>
      </c>
      <c r="D106" s="315" t="str">
        <f>VLOOKUP($A106,Questions!$A$3:$L$333,11,0)&amp;""</f>
        <v/>
      </c>
      <c r="E106" s="315" t="str">
        <f>VLOOKUP($A106,Questions!$A$3:$L$333,12,0)&amp;""</f>
        <v>Organization</v>
      </c>
      <c r="F106" s="315" t="str">
        <f>VLOOKUP($A106,'Institution Evaluation'!$A$56:$K$345,3,0)&amp;""</f>
        <v>Yes</v>
      </c>
      <c r="G106" s="315" t="str">
        <f>VLOOKUP($A106,'Institution Evaluation'!$A$56:$K$345,7,0)&amp;""</f>
        <v>Yes</v>
      </c>
      <c r="H106" s="315" t="str">
        <f>VLOOKUP($A106,'Institution Evaluation'!$A$56:$K$345,8,0)&amp;""</f>
        <v/>
      </c>
      <c r="I106" s="315" t="str">
        <f>VLOOKUP($A106,'Institution Evaluation'!$A$56:$K$345,9,0)&amp;""</f>
        <v>Minor Importance</v>
      </c>
      <c r="J106" s="315" t="str">
        <f>VLOOKUP($A106,'Institution Evaluation'!$A$56:$K$345,10,0)&amp;""</f>
        <v/>
      </c>
      <c r="K106" s="315">
        <f>IF($I106='Auto Responses'!$J$11,20,IF($I106='Auto Responses'!$J$13,5,10))</f>
        <v>5</v>
      </c>
      <c r="L106" s="284">
        <f>IF($E106='Auto Responses'!$L$13, 'Auto Responses'!$J$5,IF(AND($D106='Auto Responses'!$J$27,$H106=""),'Auto Responses'!$J$5,IF(AND($D106='Auto Responses'!$J$27,$H106='Auto Responses'!$J$7),1,IF(AND($D106='Auto Responses'!$J$27,$H106='Auto Responses'!$J$8),0,IF(OR(AND($F106=$G106,$H106=""),$H106='Auto Responses'!$J$7),1,0)))))</f>
        <v>1</v>
      </c>
      <c r="M106" s="315" t="str">
        <f>VLOOKUP($A106,'Institution Evaluation'!$A$56:$K$345,11,0)&amp;""</f>
        <v>FALSCH</v>
      </c>
      <c r="N106" s="315">
        <f>IF($J106='Auto Responses'!$J$11,1,IF(AND($J106="",$I106='Auto Responses'!$J$11),1,0))</f>
        <v>0</v>
      </c>
      <c r="O106" s="284">
        <f>IF(OR($E106='Auto Responses'!$L$13,$F106='Auto Responses'!$J$5),'Auto Responses'!$J$5,IF($J106="",$K106,IF($J106='Auto Responses'!$J$13,5,IF($J106='Auto Responses'!$J$12,10,IF($J106='Auto Responses'!$J$11,20,0)))))</f>
        <v>5</v>
      </c>
      <c r="P106" s="284">
        <f>IF(OR($O106='Auto Responses'!$J$5,$L106='Auto Responses'!$J$5),'Auto Responses'!$J$5,$O106*$L106)</f>
        <v>5</v>
      </c>
      <c r="Q106" s="284">
        <f t="shared" si="8"/>
        <v>0</v>
      </c>
      <c r="R106" s="284">
        <f t="shared" si="12"/>
        <v>0</v>
      </c>
      <c r="S106" s="284">
        <f t="shared" si="9"/>
        <v>0</v>
      </c>
      <c r="T106" s="284">
        <f t="shared" si="10"/>
        <v>0</v>
      </c>
      <c r="U106" s="284">
        <f t="shared" si="13"/>
        <v>34</v>
      </c>
      <c r="V106" s="284">
        <f t="shared" si="11"/>
        <v>0</v>
      </c>
    </row>
    <row r="107" spans="1:22" ht="55.5" customHeight="1" x14ac:dyDescent="0.2">
      <c r="A107" s="315" t="str">
        <f>Questions!$A107</f>
        <v>CHNG-12</v>
      </c>
      <c r="B107" s="315" t="str">
        <f t="shared" si="7"/>
        <v>CHNG</v>
      </c>
      <c r="C107" s="315" t="str">
        <f>VLOOKUP($A107,Questions!$A$3:$L$333,2,0)&amp;""</f>
        <v>Do you have a technology roadmap, for at least the next two years, for enhancements and bug fixes for the solution being assessed?</v>
      </c>
      <c r="D107" s="315" t="str">
        <f>VLOOKUP($A107,Questions!$A$3:$L$333,11,0)&amp;""</f>
        <v/>
      </c>
      <c r="E107" s="315" t="str">
        <f>VLOOKUP($A107,Questions!$A$3:$L$333,12,0)&amp;""</f>
        <v>Organization</v>
      </c>
      <c r="F107" s="315" t="str">
        <f>VLOOKUP($A107,'Institution Evaluation'!$A$56:$K$345,3,0)&amp;""</f>
        <v>No</v>
      </c>
      <c r="G107" s="315" t="str">
        <f>VLOOKUP($A107,'Institution Evaluation'!$A$56:$K$345,7,0)&amp;""</f>
        <v>Yes</v>
      </c>
      <c r="H107" s="315" t="str">
        <f>VLOOKUP($A107,'Institution Evaluation'!$A$56:$K$345,8,0)&amp;""</f>
        <v/>
      </c>
      <c r="I107" s="315" t="str">
        <f>VLOOKUP($A107,'Institution Evaluation'!$A$56:$K$345,9,0)&amp;""</f>
        <v>Minor Importance</v>
      </c>
      <c r="J107" s="315" t="str">
        <f>VLOOKUP($A107,'Institution Evaluation'!$A$56:$K$345,10,0)&amp;""</f>
        <v/>
      </c>
      <c r="K107" s="315">
        <f>IF($I107='Auto Responses'!$J$11,20,IF($I107='Auto Responses'!$J$13,5,10))</f>
        <v>5</v>
      </c>
      <c r="L107" s="284">
        <f>IF($E107='Auto Responses'!$L$13, 'Auto Responses'!$J$5,IF(AND($D107='Auto Responses'!$J$27,$H107=""),'Auto Responses'!$J$5,IF(AND($D107='Auto Responses'!$J$27,$H107='Auto Responses'!$J$7),1,IF(AND($D107='Auto Responses'!$J$27,$H107='Auto Responses'!$J$8),0,IF(OR(AND($F107=$G107,$H107=""),$H107='Auto Responses'!$J$7),1,0)))))</f>
        <v>0</v>
      </c>
      <c r="M107" s="315" t="str">
        <f>VLOOKUP($A107,'Institution Evaluation'!$A$56:$K$345,11,0)&amp;""</f>
        <v>FALSCH</v>
      </c>
      <c r="N107" s="315">
        <f>IF($J107='Auto Responses'!$J$11,1,IF(AND($J107="",$I107='Auto Responses'!$J$11),1,0))</f>
        <v>0</v>
      </c>
      <c r="O107" s="284">
        <f>IF(OR($E107='Auto Responses'!$L$13,$F107='Auto Responses'!$J$5),'Auto Responses'!$J$5,IF($J107="",$K107,IF($J107='Auto Responses'!$J$13,5,IF($J107='Auto Responses'!$J$12,10,IF($J107='Auto Responses'!$J$11,20,0)))))</f>
        <v>5</v>
      </c>
      <c r="P107" s="284">
        <f>IF(OR($O107='Auto Responses'!$J$5,$L107='Auto Responses'!$J$5),'Auto Responses'!$J$5,$O107*$L107)</f>
        <v>0</v>
      </c>
      <c r="Q107" s="284">
        <f t="shared" si="8"/>
        <v>0</v>
      </c>
      <c r="R107" s="284">
        <f t="shared" si="12"/>
        <v>0</v>
      </c>
      <c r="S107" s="284">
        <f t="shared" si="9"/>
        <v>0</v>
      </c>
      <c r="T107" s="284">
        <f t="shared" si="10"/>
        <v>0</v>
      </c>
      <c r="U107" s="284">
        <f t="shared" si="13"/>
        <v>34</v>
      </c>
      <c r="V107" s="284">
        <f t="shared" si="11"/>
        <v>0</v>
      </c>
    </row>
    <row r="108" spans="1:22" ht="55.5" customHeight="1" x14ac:dyDescent="0.2">
      <c r="A108" s="315" t="str">
        <f>Questions!$A108</f>
        <v>CHNG-13</v>
      </c>
      <c r="B108" s="315" t="str">
        <f t="shared" si="7"/>
        <v>CHNG</v>
      </c>
      <c r="C108" s="315" t="str">
        <f>VLOOKUP($A108,Questions!$A$3:$L$333,2,0)&amp;""</f>
        <v>Can solution updates be completed without institutional involvement (i.e., technically or organizationally)?</v>
      </c>
      <c r="D108" s="315" t="str">
        <f>VLOOKUP($A108,Questions!$A$3:$L$333,11,0)&amp;""</f>
        <v/>
      </c>
      <c r="E108" s="315" t="str">
        <f>VLOOKUP($A108,Questions!$A$3:$L$333,12,0)&amp;""</f>
        <v>Organization</v>
      </c>
      <c r="F108" s="315" t="str">
        <f>VLOOKUP($A108,'Institution Evaluation'!$A$56:$K$345,3,0)&amp;""</f>
        <v>Yes</v>
      </c>
      <c r="G108" s="315" t="str">
        <f>VLOOKUP($A108,'Institution Evaluation'!$A$56:$K$345,7,0)&amp;""</f>
        <v>Yes</v>
      </c>
      <c r="H108" s="315" t="str">
        <f>VLOOKUP($A108,'Institution Evaluation'!$A$56:$K$345,8,0)&amp;""</f>
        <v/>
      </c>
      <c r="I108" s="315" t="str">
        <f>VLOOKUP($A108,'Institution Evaluation'!$A$56:$K$345,9,0)&amp;""</f>
        <v>Minor Importance</v>
      </c>
      <c r="J108" s="315" t="str">
        <f>VLOOKUP($A108,'Institution Evaluation'!$A$56:$K$345,10,0)&amp;""</f>
        <v/>
      </c>
      <c r="K108" s="315">
        <f>IF($I108='Auto Responses'!$J$11,20,IF($I108='Auto Responses'!$J$13,5,10))</f>
        <v>5</v>
      </c>
      <c r="L108" s="284">
        <f>IF($E108='Auto Responses'!$L$13, 'Auto Responses'!$J$5,IF(AND($D108='Auto Responses'!$J$27,$H108=""),'Auto Responses'!$J$5,IF(AND($D108='Auto Responses'!$J$27,$H108='Auto Responses'!$J$7),1,IF(AND($D108='Auto Responses'!$J$27,$H108='Auto Responses'!$J$8),0,IF(OR(AND($F108=$G108,$H108=""),$H108='Auto Responses'!$J$7),1,0)))))</f>
        <v>1</v>
      </c>
      <c r="M108" s="315" t="str">
        <f>VLOOKUP($A108,'Institution Evaluation'!$A$56:$K$345,11,0)&amp;""</f>
        <v>FALSCH</v>
      </c>
      <c r="N108" s="315">
        <f>IF($J108='Auto Responses'!$J$11,1,IF(AND($J108="",$I108='Auto Responses'!$J$11),1,0))</f>
        <v>0</v>
      </c>
      <c r="O108" s="284">
        <f>IF(OR($E108='Auto Responses'!$L$13,$F108='Auto Responses'!$J$5),'Auto Responses'!$J$5,IF($J108="",$K108,IF($J108='Auto Responses'!$J$13,5,IF($J108='Auto Responses'!$J$12,10,IF($J108='Auto Responses'!$J$11,20,0)))))</f>
        <v>5</v>
      </c>
      <c r="P108" s="284">
        <f>IF(OR($O108='Auto Responses'!$J$5,$L108='Auto Responses'!$J$5),'Auto Responses'!$J$5,$O108*$L108)</f>
        <v>5</v>
      </c>
      <c r="Q108" s="284">
        <f t="shared" si="8"/>
        <v>0</v>
      </c>
      <c r="R108" s="284">
        <f t="shared" si="12"/>
        <v>0</v>
      </c>
      <c r="S108" s="284">
        <f t="shared" si="9"/>
        <v>0</v>
      </c>
      <c r="T108" s="284">
        <f t="shared" si="10"/>
        <v>0</v>
      </c>
      <c r="U108" s="284">
        <f t="shared" si="13"/>
        <v>34</v>
      </c>
      <c r="V108" s="284">
        <f t="shared" si="11"/>
        <v>0</v>
      </c>
    </row>
    <row r="109" spans="1:22" ht="55.5" customHeight="1" x14ac:dyDescent="0.2">
      <c r="A109" s="315" t="str">
        <f>Questions!$A109</f>
        <v>CHNG-14</v>
      </c>
      <c r="B109" s="315" t="str">
        <f t="shared" si="7"/>
        <v>CHNG</v>
      </c>
      <c r="C109" s="315" t="str">
        <f>VLOOKUP($A109,Questions!$A$3:$L$333,2,0)&amp;""</f>
        <v>Are upgrades or system changes installed during off-peak hours or in a manner that does not impact the customer?</v>
      </c>
      <c r="D109" s="315" t="str">
        <f>VLOOKUP($A109,Questions!$A$3:$L$333,11,0)&amp;""</f>
        <v/>
      </c>
      <c r="E109" s="315" t="str">
        <f>VLOOKUP($A109,Questions!$A$3:$L$333,12,0)&amp;""</f>
        <v>Organization</v>
      </c>
      <c r="F109" s="315" t="str">
        <f>VLOOKUP($A109,'Institution Evaluation'!$A$56:$K$345,3,0)&amp;""</f>
        <v>Yes</v>
      </c>
      <c r="G109" s="315" t="str">
        <f>VLOOKUP($A109,'Institution Evaluation'!$A$56:$K$345,7,0)&amp;""</f>
        <v>Yes</v>
      </c>
      <c r="H109" s="315" t="str">
        <f>VLOOKUP($A109,'Institution Evaluation'!$A$56:$K$345,8,0)&amp;""</f>
        <v/>
      </c>
      <c r="I109" s="315" t="str">
        <f>VLOOKUP($A109,'Institution Evaluation'!$A$56:$K$345,9,0)&amp;""</f>
        <v>Minor Importance</v>
      </c>
      <c r="J109" s="315" t="str">
        <f>VLOOKUP($A109,'Institution Evaluation'!$A$56:$K$345,10,0)&amp;""</f>
        <v/>
      </c>
      <c r="K109" s="315">
        <f>IF($I109='Auto Responses'!$J$11,20,IF($I109='Auto Responses'!$J$13,5,10))</f>
        <v>5</v>
      </c>
      <c r="L109" s="284">
        <f>IF($E109='Auto Responses'!$L$13, 'Auto Responses'!$J$5,IF(AND($D109='Auto Responses'!$J$27,$H109=""),'Auto Responses'!$J$5,IF(AND($D109='Auto Responses'!$J$27,$H109='Auto Responses'!$J$7),1,IF(AND($D109='Auto Responses'!$J$27,$H109='Auto Responses'!$J$8),0,IF(OR(AND($F109=$G109,$H109=""),$H109='Auto Responses'!$J$7),1,0)))))</f>
        <v>1</v>
      </c>
      <c r="M109" s="315" t="str">
        <f>VLOOKUP($A109,'Institution Evaluation'!$A$56:$K$345,11,0)&amp;""</f>
        <v>FALSCH</v>
      </c>
      <c r="N109" s="315">
        <f>IF($J109='Auto Responses'!$J$11,1,IF(AND($J109="",$I109='Auto Responses'!$J$11),1,0))</f>
        <v>0</v>
      </c>
      <c r="O109" s="284">
        <f>IF(OR($E109='Auto Responses'!$L$13,$F109='Auto Responses'!$J$5),'Auto Responses'!$J$5,IF($J109="",$K109,IF($J109='Auto Responses'!$J$13,5,IF($J109='Auto Responses'!$J$12,10,IF($J109='Auto Responses'!$J$11,20,0)))))</f>
        <v>5</v>
      </c>
      <c r="P109" s="284">
        <f>IF(OR($O109='Auto Responses'!$J$5,$L109='Auto Responses'!$J$5),'Auto Responses'!$J$5,$O109*$L109)</f>
        <v>5</v>
      </c>
      <c r="Q109" s="284">
        <f t="shared" si="8"/>
        <v>0</v>
      </c>
      <c r="R109" s="284">
        <f t="shared" si="12"/>
        <v>0</v>
      </c>
      <c r="S109" s="284">
        <f t="shared" si="9"/>
        <v>0</v>
      </c>
      <c r="T109" s="284">
        <f t="shared" si="10"/>
        <v>0</v>
      </c>
      <c r="U109" s="284">
        <f t="shared" si="13"/>
        <v>34</v>
      </c>
      <c r="V109" s="284">
        <f t="shared" si="11"/>
        <v>0</v>
      </c>
    </row>
    <row r="110" spans="1:22" ht="55.5" customHeight="1" x14ac:dyDescent="0.2">
      <c r="A110" s="315" t="str">
        <f>Questions!$A110</f>
        <v>CHNG-15</v>
      </c>
      <c r="B110" s="315" t="str">
        <f t="shared" si="7"/>
        <v>CHNG</v>
      </c>
      <c r="C110" s="315" t="str">
        <f>VLOOKUP($A110,Questions!$A$3:$L$333,2,0)&amp;""</f>
        <v>Do procedures exist to provide that emergency changes are documented and authorized (including after-the-fact approval)?</v>
      </c>
      <c r="D110" s="315" t="str">
        <f>VLOOKUP($A110,Questions!$A$3:$L$333,11,0)&amp;""</f>
        <v/>
      </c>
      <c r="E110" s="315" t="str">
        <f>VLOOKUP($A110,Questions!$A$3:$L$333,12,0)&amp;""</f>
        <v>Organization</v>
      </c>
      <c r="F110" s="315" t="str">
        <f>VLOOKUP($A110,'Institution Evaluation'!$A$56:$K$345,3,0)&amp;""</f>
        <v>No</v>
      </c>
      <c r="G110" s="315" t="str">
        <f>VLOOKUP($A110,'Institution Evaluation'!$A$56:$K$345,7,0)&amp;""</f>
        <v>Yes</v>
      </c>
      <c r="H110" s="315" t="str">
        <f>VLOOKUP($A110,'Institution Evaluation'!$A$56:$K$345,8,0)&amp;""</f>
        <v/>
      </c>
      <c r="I110" s="315" t="str">
        <f>VLOOKUP($A110,'Institution Evaluation'!$A$56:$K$345,9,0)&amp;""</f>
        <v>Minor Importance</v>
      </c>
      <c r="J110" s="315" t="str">
        <f>VLOOKUP($A110,'Institution Evaluation'!$A$56:$K$345,10,0)&amp;""</f>
        <v/>
      </c>
      <c r="K110" s="315">
        <f>IF($I110='Auto Responses'!$J$11,20,IF($I110='Auto Responses'!$J$13,5,10))</f>
        <v>5</v>
      </c>
      <c r="L110" s="284">
        <f>IF($E110='Auto Responses'!$L$13, 'Auto Responses'!$J$5,IF(AND($D110='Auto Responses'!$J$27,$H110=""),'Auto Responses'!$J$5,IF(AND($D110='Auto Responses'!$J$27,$H110='Auto Responses'!$J$7),1,IF(AND($D110='Auto Responses'!$J$27,$H110='Auto Responses'!$J$8),0,IF(OR(AND($F110=$G110,$H110=""),$H110='Auto Responses'!$J$7),1,0)))))</f>
        <v>0</v>
      </c>
      <c r="M110" s="315" t="str">
        <f>VLOOKUP($A110,'Institution Evaluation'!$A$56:$K$345,11,0)&amp;""</f>
        <v>FALSCH</v>
      </c>
      <c r="N110" s="315">
        <f>IF($J110='Auto Responses'!$J$11,1,IF(AND($J110="",$I110='Auto Responses'!$J$11),1,0))</f>
        <v>0</v>
      </c>
      <c r="O110" s="284">
        <f>IF(OR($E110='Auto Responses'!$L$13,$F110='Auto Responses'!$J$5),'Auto Responses'!$J$5,IF($J110="",$K110,IF($J110='Auto Responses'!$J$13,5,IF($J110='Auto Responses'!$J$12,10,IF($J110='Auto Responses'!$J$11,20,0)))))</f>
        <v>5</v>
      </c>
      <c r="P110" s="284">
        <f>IF(OR($O110='Auto Responses'!$J$5,$L110='Auto Responses'!$J$5),'Auto Responses'!$J$5,$O110*$L110)</f>
        <v>0</v>
      </c>
      <c r="Q110" s="284">
        <f t="shared" si="8"/>
        <v>0</v>
      </c>
      <c r="R110" s="284">
        <f t="shared" si="12"/>
        <v>0</v>
      </c>
      <c r="S110" s="284">
        <f t="shared" si="9"/>
        <v>0</v>
      </c>
      <c r="T110" s="284">
        <f t="shared" si="10"/>
        <v>0</v>
      </c>
      <c r="U110" s="284">
        <f t="shared" si="13"/>
        <v>34</v>
      </c>
      <c r="V110" s="284">
        <f t="shared" si="11"/>
        <v>0</v>
      </c>
    </row>
    <row r="111" spans="1:22" ht="55.5" customHeight="1" x14ac:dyDescent="0.2">
      <c r="A111" s="315" t="str">
        <f>Questions!$A111</f>
        <v>CHNG-16</v>
      </c>
      <c r="B111" s="315" t="str">
        <f t="shared" si="7"/>
        <v>CHNG</v>
      </c>
      <c r="C111" s="315" t="str">
        <f>VLOOKUP($A111,Questions!$A$3:$L$333,2,0)&amp;""</f>
        <v>Do you have a systems management and configuration strategy that encompasses servers, appliances, cloud services, applications, and mobile devices (company and employee owned)?</v>
      </c>
      <c r="D111" s="315" t="str">
        <f>VLOOKUP($A111,Questions!$A$3:$L$333,11,0)&amp;""</f>
        <v/>
      </c>
      <c r="E111" s="315" t="str">
        <f>VLOOKUP($A111,Questions!$A$3:$L$333,12,0)&amp;""</f>
        <v>Organization</v>
      </c>
      <c r="F111" s="315" t="str">
        <f>VLOOKUP($A111,'Institution Evaluation'!$A$56:$K$345,3,0)&amp;""</f>
        <v>No</v>
      </c>
      <c r="G111" s="315" t="str">
        <f>VLOOKUP($A111,'Institution Evaluation'!$A$56:$K$345,7,0)&amp;""</f>
        <v>Yes</v>
      </c>
      <c r="H111" s="315" t="str">
        <f>VLOOKUP($A111,'Institution Evaluation'!$A$56:$K$345,8,0)&amp;""</f>
        <v/>
      </c>
      <c r="I111" s="315" t="str">
        <f>VLOOKUP($A111,'Institution Evaluation'!$A$56:$K$345,9,0)&amp;""</f>
        <v>Minor Importance</v>
      </c>
      <c r="J111" s="315" t="str">
        <f>VLOOKUP($A111,'Institution Evaluation'!$A$56:$K$345,10,0)&amp;""</f>
        <v/>
      </c>
      <c r="K111" s="315">
        <f>IF($I111='Auto Responses'!$J$11,20,IF($I111='Auto Responses'!$J$13,5,10))</f>
        <v>5</v>
      </c>
      <c r="L111" s="284">
        <f>IF($E111='Auto Responses'!$L$13, 'Auto Responses'!$J$5,IF(AND($D111='Auto Responses'!$J$27,$H111=""),'Auto Responses'!$J$5,IF(AND($D111='Auto Responses'!$J$27,$H111='Auto Responses'!$J$7),1,IF(AND($D111='Auto Responses'!$J$27,$H111='Auto Responses'!$J$8),0,IF(OR(AND($F111=$G111,$H111=""),$H111='Auto Responses'!$J$7),1,0)))))</f>
        <v>0</v>
      </c>
      <c r="M111" s="315" t="str">
        <f>VLOOKUP($A111,'Institution Evaluation'!$A$56:$K$345,11,0)&amp;""</f>
        <v>FALSCH</v>
      </c>
      <c r="N111" s="315">
        <f>IF($J111='Auto Responses'!$J$11,1,IF(AND($J111="",$I111='Auto Responses'!$J$11),1,0))</f>
        <v>0</v>
      </c>
      <c r="O111" s="284">
        <f>IF(OR($E111='Auto Responses'!$L$13,$F111='Auto Responses'!$J$5),'Auto Responses'!$J$5,IF($J111="",$K111,IF($J111='Auto Responses'!$J$13,5,IF($J111='Auto Responses'!$J$12,10,IF($J111='Auto Responses'!$J$11,20,0)))))</f>
        <v>5</v>
      </c>
      <c r="P111" s="284">
        <f>IF(OR($O111='Auto Responses'!$J$5,$L111='Auto Responses'!$J$5),'Auto Responses'!$J$5,$O111*$L111)</f>
        <v>0</v>
      </c>
      <c r="Q111" s="284">
        <f t="shared" si="8"/>
        <v>0</v>
      </c>
      <c r="R111" s="284">
        <f t="shared" si="12"/>
        <v>0</v>
      </c>
      <c r="S111" s="284">
        <f t="shared" si="9"/>
        <v>0</v>
      </c>
      <c r="T111" s="284">
        <f t="shared" si="10"/>
        <v>0</v>
      </c>
      <c r="U111" s="284">
        <f t="shared" si="13"/>
        <v>34</v>
      </c>
      <c r="V111" s="284">
        <f t="shared" si="11"/>
        <v>0</v>
      </c>
    </row>
    <row r="112" spans="1:22" ht="55.5" customHeight="1" x14ac:dyDescent="0.2">
      <c r="A112" s="315" t="str">
        <f>Questions!$A112</f>
        <v>DATA-01</v>
      </c>
      <c r="B112" s="315" t="str">
        <f t="shared" si="7"/>
        <v>DATA</v>
      </c>
      <c r="C112" s="315" t="str">
        <f>VLOOKUP($A112,Questions!$A$3:$L$333,2,0)&amp;""</f>
        <v>Will the institution's data be stored on any devices (database servers, file servers, SAN, NAS, etc.) configured with non-RFC 1918/4193 (i.e., publicly routable) IP addresses?*</v>
      </c>
      <c r="D112" s="315" t="str">
        <f>VLOOKUP($A112,Questions!$A$3:$L$333,11,0)&amp;""</f>
        <v/>
      </c>
      <c r="E112" s="315" t="str">
        <f>VLOOKUP($A112,Questions!$A$3:$L$333,12,0)&amp;""</f>
        <v>Product</v>
      </c>
      <c r="F112" s="315" t="str">
        <f>VLOOKUP($A112,'Institution Evaluation'!$A$56:$K$345,3,0)&amp;""</f>
        <v>N/A</v>
      </c>
      <c r="G112" s="315" t="str">
        <f>VLOOKUP($A112,'Institution Evaluation'!$A$56:$K$345,7,0)&amp;""</f>
        <v>No</v>
      </c>
      <c r="H112" s="315" t="str">
        <f>VLOOKUP($A112,'Institution Evaluation'!$A$56:$K$345,8,0)&amp;""</f>
        <v/>
      </c>
      <c r="I112" s="315" t="str">
        <f>VLOOKUP($A112,'Institution Evaluation'!$A$56:$K$345,9,0)&amp;""</f>
        <v>Critical Importance</v>
      </c>
      <c r="J112" s="315" t="str">
        <f>VLOOKUP($A112,'Institution Evaluation'!$A$56:$K$345,10,0)&amp;""</f>
        <v/>
      </c>
      <c r="K112" s="315">
        <f>IF($I112='Auto Responses'!$J$11,20,IF($I112='Auto Responses'!$J$13,5,10))</f>
        <v>20</v>
      </c>
      <c r="L112" s="284">
        <f>IF($E112='Auto Responses'!$L$13, 'Auto Responses'!$J$5,IF(AND($D112='Auto Responses'!$J$27,$H112=""),'Auto Responses'!$J$5,IF(AND($D112='Auto Responses'!$J$27,$H112='Auto Responses'!$J$7),1,IF(AND($D112='Auto Responses'!$J$27,$H112='Auto Responses'!$J$8),0,IF(OR(AND($F112=$G112,$H112=""),$H112='Auto Responses'!$J$7),1,0)))))</f>
        <v>0</v>
      </c>
      <c r="M112" s="315" t="str">
        <f>VLOOKUP($A112,'Institution Evaluation'!$A$56:$K$345,11,0)&amp;""</f>
        <v>FALSCH</v>
      </c>
      <c r="N112" s="315">
        <f>IF($J112='Auto Responses'!$J$11,1,IF(AND($J112="",$I112='Auto Responses'!$J$11),1,0))</f>
        <v>1</v>
      </c>
      <c r="O112" s="284" t="str">
        <f>IF(OR($F$17='Auto Responses'!$J$4,$E112='Auto Responses'!$L$13,$F112='Auto Responses'!$J$5),'Auto Responses'!$J$5,IF($J112="",$K112,IF($J112='Auto Responses'!$J$13,5,IF($J112='Auto Responses'!$J$12,10,IF($J112='Auto Responses'!$J$11,20,0)))))</f>
        <v>N/A</v>
      </c>
      <c r="P112" s="284" t="str">
        <f>IF(OR($O112='Auto Responses'!$J$5,$L112='Auto Responses'!$J$5),'Auto Responses'!$J$5,$O112*$L112)</f>
        <v>N/A</v>
      </c>
      <c r="Q112" s="284">
        <f t="shared" si="8"/>
        <v>0</v>
      </c>
      <c r="R112" s="284">
        <f t="shared" si="12"/>
        <v>0</v>
      </c>
      <c r="S112" s="284">
        <f t="shared" si="9"/>
        <v>0</v>
      </c>
      <c r="T112" s="284">
        <f t="shared" si="10"/>
        <v>1</v>
      </c>
      <c r="U112" s="284">
        <f t="shared" si="13"/>
        <v>35</v>
      </c>
      <c r="V112" s="284">
        <f t="shared" si="11"/>
        <v>35</v>
      </c>
    </row>
    <row r="113" spans="1:22" ht="55.5" customHeight="1" x14ac:dyDescent="0.2">
      <c r="A113" s="315" t="str">
        <f>Questions!$A113</f>
        <v>DATA-02</v>
      </c>
      <c r="B113" s="315" t="str">
        <f t="shared" si="7"/>
        <v>DATA</v>
      </c>
      <c r="C113" s="315" t="str">
        <f>VLOOKUP($A113,Questions!$A$3:$L$333,2,0)&amp;""</f>
        <v>Is the transport of sensitive data encrypted using security protocols/algorithms (e.g., system-to-client)?*</v>
      </c>
      <c r="D113" s="315" t="str">
        <f>VLOOKUP($A113,Questions!$A$3:$L$333,11,0)&amp;""</f>
        <v/>
      </c>
      <c r="E113" s="315" t="str">
        <f>VLOOKUP($A113,Questions!$A$3:$L$333,12,0)&amp;""</f>
        <v>Product</v>
      </c>
      <c r="F113" s="315" t="str">
        <f>VLOOKUP($A113,'Institution Evaluation'!$A$56:$K$345,3,0)&amp;""</f>
        <v>N/A</v>
      </c>
      <c r="G113" s="315" t="str">
        <f>VLOOKUP($A113,'Institution Evaluation'!$A$56:$K$345,7,0)&amp;""</f>
        <v>Yes</v>
      </c>
      <c r="H113" s="315" t="str">
        <f>VLOOKUP($A113,'Institution Evaluation'!$A$56:$K$345,8,0)&amp;""</f>
        <v/>
      </c>
      <c r="I113" s="315" t="str">
        <f>VLOOKUP($A113,'Institution Evaluation'!$A$56:$K$345,9,0)&amp;""</f>
        <v>Critical Importance</v>
      </c>
      <c r="J113" s="315" t="str">
        <f>VLOOKUP($A113,'Institution Evaluation'!$A$56:$K$345,10,0)&amp;""</f>
        <v/>
      </c>
      <c r="K113" s="315">
        <f>IF($I113='Auto Responses'!$J$11,20,IF($I113='Auto Responses'!$J$13,5,10))</f>
        <v>20</v>
      </c>
      <c r="L113" s="284">
        <f>IF($E113='Auto Responses'!$L$13, 'Auto Responses'!$J$5,IF(AND($D113='Auto Responses'!$J$27,$H113=""),'Auto Responses'!$J$5,IF(AND($D113='Auto Responses'!$J$27,$H113='Auto Responses'!$J$7),1,IF(AND($D113='Auto Responses'!$J$27,$H113='Auto Responses'!$J$8),0,IF(OR(AND($F113=$G113,$H113=""),$H113='Auto Responses'!$J$7),1,0)))))</f>
        <v>0</v>
      </c>
      <c r="M113" s="315" t="str">
        <f>VLOOKUP($A113,'Institution Evaluation'!$A$56:$K$345,11,0)&amp;""</f>
        <v>FALSCH</v>
      </c>
      <c r="N113" s="315">
        <f>IF($J113='Auto Responses'!$J$11,1,IF(AND($J113="",$I113='Auto Responses'!$J$11),1,0))</f>
        <v>1</v>
      </c>
      <c r="O113" s="284" t="str">
        <f>IF(OR($F$17='Auto Responses'!$J$4,$E113='Auto Responses'!$L$13,$F113='Auto Responses'!$J$5),'Auto Responses'!$J$5,IF($J113="",$K113,IF($J113='Auto Responses'!$J$13,5,IF($J113='Auto Responses'!$J$12,10,IF($J113='Auto Responses'!$J$11,20,0)))))</f>
        <v>N/A</v>
      </c>
      <c r="P113" s="284" t="str">
        <f>IF(OR($O113='Auto Responses'!$J$5,$L113='Auto Responses'!$J$5),'Auto Responses'!$J$5,$O113*$L113)</f>
        <v>N/A</v>
      </c>
      <c r="Q113" s="284">
        <f t="shared" si="8"/>
        <v>0</v>
      </c>
      <c r="R113" s="284">
        <f t="shared" si="12"/>
        <v>0</v>
      </c>
      <c r="S113" s="284">
        <f t="shared" si="9"/>
        <v>0</v>
      </c>
      <c r="T113" s="284">
        <f t="shared" si="10"/>
        <v>1</v>
      </c>
      <c r="U113" s="284">
        <f t="shared" si="13"/>
        <v>36</v>
      </c>
      <c r="V113" s="284">
        <f t="shared" si="11"/>
        <v>36</v>
      </c>
    </row>
    <row r="114" spans="1:22" ht="55.5" customHeight="1" x14ac:dyDescent="0.2">
      <c r="A114" s="315" t="str">
        <f>Questions!$A114</f>
        <v>DATA-03</v>
      </c>
      <c r="B114" s="315" t="str">
        <f t="shared" si="7"/>
        <v>DATA</v>
      </c>
      <c r="C114" s="315" t="str">
        <f>VLOOKUP($A114,Questions!$A$3:$L$333,2,0)&amp;""</f>
        <v>Is the storage of sensitive data encrypted using security protocols/algorithms (e.g., disk encryption, at-rest, files, and within a running database)?*</v>
      </c>
      <c r="D114" s="315" t="str">
        <f>VLOOKUP($A114,Questions!$A$3:$L$333,11,0)&amp;""</f>
        <v/>
      </c>
      <c r="E114" s="315" t="str">
        <f>VLOOKUP($A114,Questions!$A$3:$L$333,12,0)&amp;""</f>
        <v>Product</v>
      </c>
      <c r="F114" s="315" t="str">
        <f>VLOOKUP($A114,'Institution Evaluation'!$A$56:$K$345,3,0)&amp;""</f>
        <v>N/A</v>
      </c>
      <c r="G114" s="315" t="str">
        <f>VLOOKUP($A114,'Institution Evaluation'!$A$56:$K$345,7,0)&amp;""</f>
        <v>Yes</v>
      </c>
      <c r="H114" s="315" t="str">
        <f>VLOOKUP($A114,'Institution Evaluation'!$A$56:$K$345,8,0)&amp;""</f>
        <v/>
      </c>
      <c r="I114" s="315" t="str">
        <f>VLOOKUP($A114,'Institution Evaluation'!$A$56:$K$345,9,0)&amp;""</f>
        <v>Critical Importance</v>
      </c>
      <c r="J114" s="315" t="str">
        <f>VLOOKUP($A114,'Institution Evaluation'!$A$56:$K$345,10,0)&amp;""</f>
        <v/>
      </c>
      <c r="K114" s="315">
        <f>IF($I114='Auto Responses'!$J$11,20,IF($I114='Auto Responses'!$J$13,5,10))</f>
        <v>20</v>
      </c>
      <c r="L114" s="284">
        <f>IF($E114='Auto Responses'!$L$13, 'Auto Responses'!$J$5,IF(AND($D114='Auto Responses'!$J$27,$H114=""),'Auto Responses'!$J$5,IF(AND($D114='Auto Responses'!$J$27,$H114='Auto Responses'!$J$7),1,IF(AND($D114='Auto Responses'!$J$27,$H114='Auto Responses'!$J$8),0,IF(OR(AND($F114=$G114,$H114=""),$H114='Auto Responses'!$J$7),1,0)))))</f>
        <v>0</v>
      </c>
      <c r="M114" s="315" t="str">
        <f>VLOOKUP($A114,'Institution Evaluation'!$A$56:$K$345,11,0)&amp;""</f>
        <v>FALSCH</v>
      </c>
      <c r="N114" s="315">
        <f>IF($J114='Auto Responses'!$J$11,1,IF(AND($J114="",$I114='Auto Responses'!$J$11),1,0))</f>
        <v>1</v>
      </c>
      <c r="O114" s="284" t="str">
        <f>IF(OR($F$17='Auto Responses'!$J$4,$E114='Auto Responses'!$L$13,$F114='Auto Responses'!$J$5),'Auto Responses'!$J$5,IF($J114="",$K114,IF($J114='Auto Responses'!$J$13,5,IF($J114='Auto Responses'!$J$12,10,IF($J114='Auto Responses'!$J$11,20,0)))))</f>
        <v>N/A</v>
      </c>
      <c r="P114" s="284" t="str">
        <f>IF(OR($O114='Auto Responses'!$J$5,$L114='Auto Responses'!$J$5),'Auto Responses'!$J$5,$O114*$L114)</f>
        <v>N/A</v>
      </c>
      <c r="Q114" s="284">
        <f t="shared" si="8"/>
        <v>0</v>
      </c>
      <c r="R114" s="284">
        <f t="shared" si="12"/>
        <v>0</v>
      </c>
      <c r="S114" s="284">
        <f t="shared" si="9"/>
        <v>0</v>
      </c>
      <c r="T114" s="284">
        <f t="shared" si="10"/>
        <v>1</v>
      </c>
      <c r="U114" s="284">
        <f t="shared" si="13"/>
        <v>37</v>
      </c>
      <c r="V114" s="284">
        <f t="shared" si="11"/>
        <v>37</v>
      </c>
    </row>
    <row r="115" spans="1:22" ht="55.5" customHeight="1" x14ac:dyDescent="0.2">
      <c r="A115" s="315" t="str">
        <f>Questions!$A115</f>
        <v>DATA-04</v>
      </c>
      <c r="B115" s="315" t="str">
        <f t="shared" si="7"/>
        <v>DATA</v>
      </c>
      <c r="C115" s="315" t="str">
        <f>VLOOKUP($A115,Questions!$A$3:$L$333,2,0)&amp;""</f>
        <v>Do all cryptographic modules in use in your solution conform to the Federal Information Processing Standards (FIPS PUB 140-2 or 140-3)?*</v>
      </c>
      <c r="D115" s="315" t="str">
        <f>VLOOKUP($A115,Questions!$A$3:$L$333,11,0)&amp;""</f>
        <v/>
      </c>
      <c r="E115" s="315" t="str">
        <f>VLOOKUP($A115,Questions!$A$3:$L$333,12,0)&amp;""</f>
        <v>Product</v>
      </c>
      <c r="F115" s="315" t="str">
        <f>VLOOKUP($A115,'Institution Evaluation'!$A$56:$K$345,3,0)&amp;""</f>
        <v>N/A</v>
      </c>
      <c r="G115" s="315" t="str">
        <f>VLOOKUP($A115,'Institution Evaluation'!$A$56:$K$345,7,0)&amp;""</f>
        <v>Yes</v>
      </c>
      <c r="H115" s="315" t="str">
        <f>VLOOKUP($A115,'Institution Evaluation'!$A$56:$K$345,8,0)&amp;""</f>
        <v/>
      </c>
      <c r="I115" s="315" t="str">
        <f>VLOOKUP($A115,'Institution Evaluation'!$A$56:$K$345,9,0)&amp;""</f>
        <v>Critical Importance</v>
      </c>
      <c r="J115" s="315" t="str">
        <f>VLOOKUP($A115,'Institution Evaluation'!$A$56:$K$345,10,0)&amp;""</f>
        <v/>
      </c>
      <c r="K115" s="315">
        <f>IF($I115='Auto Responses'!$J$11,20,IF($I115='Auto Responses'!$J$13,5,10))</f>
        <v>20</v>
      </c>
      <c r="L115" s="284">
        <f>IF($E115='Auto Responses'!$L$13, 'Auto Responses'!$J$5,IF(AND($D115='Auto Responses'!$J$27,$H115=""),'Auto Responses'!$J$5,IF(AND($D115='Auto Responses'!$J$27,$H115='Auto Responses'!$J$7),1,IF(AND($D115='Auto Responses'!$J$27,$H115='Auto Responses'!$J$8),0,IF(OR(AND($F115=$G115,$H115=""),$H115='Auto Responses'!$J$7),1,0)))))</f>
        <v>0</v>
      </c>
      <c r="M115" s="315" t="str">
        <f>VLOOKUP($A115,'Institution Evaluation'!$A$56:$K$345,11,0)&amp;""</f>
        <v>FALSCH</v>
      </c>
      <c r="N115" s="315">
        <f>IF($J115='Auto Responses'!$J$11,1,IF(AND($J115="",$I115='Auto Responses'!$J$11),1,0))</f>
        <v>1</v>
      </c>
      <c r="O115" s="284" t="str">
        <f>IF(OR($F$17='Auto Responses'!$J$4,$E115='Auto Responses'!$L$13,$F115='Auto Responses'!$J$5),'Auto Responses'!$J$5,IF($J115="",$K115,IF($J115='Auto Responses'!$J$13,5,IF($J115='Auto Responses'!$J$12,10,IF($J115='Auto Responses'!$J$11,20,0)))))</f>
        <v>N/A</v>
      </c>
      <c r="P115" s="284" t="str">
        <f>IF(OR($O115='Auto Responses'!$J$5,$L115='Auto Responses'!$J$5),'Auto Responses'!$J$5,$O115*$L115)</f>
        <v>N/A</v>
      </c>
      <c r="Q115" s="284">
        <f t="shared" si="8"/>
        <v>0</v>
      </c>
      <c r="R115" s="284">
        <f t="shared" si="12"/>
        <v>0</v>
      </c>
      <c r="S115" s="284">
        <f t="shared" si="9"/>
        <v>0</v>
      </c>
      <c r="T115" s="284">
        <f t="shared" si="10"/>
        <v>1</v>
      </c>
      <c r="U115" s="284">
        <f t="shared" si="13"/>
        <v>38</v>
      </c>
      <c r="V115" s="284">
        <f t="shared" si="11"/>
        <v>38</v>
      </c>
    </row>
    <row r="116" spans="1:22" ht="55.5" customHeight="1" x14ac:dyDescent="0.2">
      <c r="A116" s="315" t="str">
        <f>Questions!$A116</f>
        <v>DATA-05</v>
      </c>
      <c r="B116" s="315" t="str">
        <f t="shared" si="7"/>
        <v>DATA</v>
      </c>
      <c r="C116" s="315" t="str">
        <f>VLOOKUP($A116,Questions!$A$3:$L$333,2,0)&amp;""</f>
        <v>Will the institution's data be available within the system for a period of time at the completion of this contract?*</v>
      </c>
      <c r="D116" s="315" t="str">
        <f>VLOOKUP($A116,Questions!$A$3:$L$333,11,0)&amp;""</f>
        <v/>
      </c>
      <c r="E116" s="315" t="str">
        <f>VLOOKUP($A116,Questions!$A$3:$L$333,12,0)&amp;""</f>
        <v>Product</v>
      </c>
      <c r="F116" s="315" t="str">
        <f>VLOOKUP($A116,'Institution Evaluation'!$A$56:$K$345,3,0)&amp;""</f>
        <v>N/A</v>
      </c>
      <c r="G116" s="315" t="str">
        <f>VLOOKUP($A116,'Institution Evaluation'!$A$56:$K$345,7,0)&amp;""</f>
        <v>Yes</v>
      </c>
      <c r="H116" s="315" t="str">
        <f>VLOOKUP($A116,'Institution Evaluation'!$A$56:$K$345,8,0)&amp;""</f>
        <v/>
      </c>
      <c r="I116" s="315" t="str">
        <f>VLOOKUP($A116,'Institution Evaluation'!$A$56:$K$345,9,0)&amp;""</f>
        <v>Critical Importance</v>
      </c>
      <c r="J116" s="315" t="str">
        <f>VLOOKUP($A116,'Institution Evaluation'!$A$56:$K$345,10,0)&amp;""</f>
        <v/>
      </c>
      <c r="K116" s="315">
        <f>IF($I116='Auto Responses'!$J$11,20,IF($I116='Auto Responses'!$J$13,5,10))</f>
        <v>20</v>
      </c>
      <c r="L116" s="284">
        <f>IF($E116='Auto Responses'!$L$13, 'Auto Responses'!$J$5,IF(AND($D116='Auto Responses'!$J$27,$H116=""),'Auto Responses'!$J$5,IF(AND($D116='Auto Responses'!$J$27,$H116='Auto Responses'!$J$7),1,IF(AND($D116='Auto Responses'!$J$27,$H116='Auto Responses'!$J$8),0,IF(OR(AND($F116=$G116,$H116=""),$H116='Auto Responses'!$J$7),1,0)))))</f>
        <v>0</v>
      </c>
      <c r="M116" s="315" t="str">
        <f>VLOOKUP($A116,'Institution Evaluation'!$A$56:$K$345,11,0)&amp;""</f>
        <v>FALSCH</v>
      </c>
      <c r="N116" s="315">
        <f>IF($J116='Auto Responses'!$J$11,1,IF(AND($J116="",$I116='Auto Responses'!$J$11),1,0))</f>
        <v>1</v>
      </c>
      <c r="O116" s="284" t="str">
        <f>IF(OR($F$17='Auto Responses'!$J$4,$E116='Auto Responses'!$L$13,$F116='Auto Responses'!$J$5),'Auto Responses'!$J$5,IF($J116="",$K116,IF($J116='Auto Responses'!$J$13,5,IF($J116='Auto Responses'!$J$12,10,IF($J116='Auto Responses'!$J$11,20,0)))))</f>
        <v>N/A</v>
      </c>
      <c r="P116" s="284" t="str">
        <f>IF(OR($O116='Auto Responses'!$J$5,$L116='Auto Responses'!$J$5),'Auto Responses'!$J$5,$O116*$L116)</f>
        <v>N/A</v>
      </c>
      <c r="Q116" s="284">
        <f t="shared" si="8"/>
        <v>0</v>
      </c>
      <c r="R116" s="284">
        <f t="shared" si="12"/>
        <v>0</v>
      </c>
      <c r="S116" s="284">
        <f t="shared" si="9"/>
        <v>0</v>
      </c>
      <c r="T116" s="284">
        <f t="shared" si="10"/>
        <v>1</v>
      </c>
      <c r="U116" s="284">
        <f t="shared" si="13"/>
        <v>39</v>
      </c>
      <c r="V116" s="284">
        <f t="shared" si="11"/>
        <v>39</v>
      </c>
    </row>
    <row r="117" spans="1:22" ht="55.5" customHeight="1" x14ac:dyDescent="0.2">
      <c r="A117" s="315" t="str">
        <f>Questions!$A117</f>
        <v>DATA-06</v>
      </c>
      <c r="B117" s="315" t="str">
        <f t="shared" si="7"/>
        <v>DATA</v>
      </c>
      <c r="C117" s="315" t="str">
        <f>VLOOKUP($A117,Questions!$A$3:$L$333,2,0)&amp;""</f>
        <v>Are ownership rights to all data, inputs, outputs, and metadata retained even through a provider acquisition or bankruptcy event?*</v>
      </c>
      <c r="D117" s="315" t="str">
        <f>VLOOKUP($A117,Questions!$A$3:$L$333,11,0)&amp;""</f>
        <v/>
      </c>
      <c r="E117" s="315" t="str">
        <f>VLOOKUP($A117,Questions!$A$3:$L$333,12,0)&amp;""</f>
        <v>Product</v>
      </c>
      <c r="F117" s="315" t="str">
        <f>VLOOKUP($A117,'Institution Evaluation'!$A$56:$K$345,3,0)&amp;""</f>
        <v>N/A</v>
      </c>
      <c r="G117" s="315" t="str">
        <f>VLOOKUP($A117,'Institution Evaluation'!$A$56:$K$345,7,0)&amp;""</f>
        <v>Yes</v>
      </c>
      <c r="H117" s="315" t="str">
        <f>VLOOKUP($A117,'Institution Evaluation'!$A$56:$K$345,8,0)&amp;""</f>
        <v/>
      </c>
      <c r="I117" s="315" t="str">
        <f>VLOOKUP($A117,'Institution Evaluation'!$A$56:$K$345,9,0)&amp;""</f>
        <v>Critical Importance</v>
      </c>
      <c r="J117" s="315" t="str">
        <f>VLOOKUP($A117,'Institution Evaluation'!$A$56:$K$345,10,0)&amp;""</f>
        <v/>
      </c>
      <c r="K117" s="315">
        <f>IF($I117='Auto Responses'!$J$11,20,IF($I117='Auto Responses'!$J$13,5,10))</f>
        <v>20</v>
      </c>
      <c r="L117" s="284">
        <f>IF($E117='Auto Responses'!$L$13, 'Auto Responses'!$J$5,IF(AND($D117='Auto Responses'!$J$27,$H117=""),'Auto Responses'!$J$5,IF(AND($D117='Auto Responses'!$J$27,$H117='Auto Responses'!$J$7),1,IF(AND($D117='Auto Responses'!$J$27,$H117='Auto Responses'!$J$8),0,IF(OR(AND($F117=$G117,$H117=""),$H117='Auto Responses'!$J$7),1,0)))))</f>
        <v>0</v>
      </c>
      <c r="M117" s="315" t="str">
        <f>VLOOKUP($A117,'Institution Evaluation'!$A$56:$K$345,11,0)&amp;""</f>
        <v>FALSCH</v>
      </c>
      <c r="N117" s="315">
        <f>IF($J117='Auto Responses'!$J$11,1,IF(AND($J117="",$I117='Auto Responses'!$J$11),1,0))</f>
        <v>1</v>
      </c>
      <c r="O117" s="284" t="str">
        <f>IF(OR($F$17='Auto Responses'!$J$4,$E117='Auto Responses'!$L$13,$F117='Auto Responses'!$J$5),'Auto Responses'!$J$5,IF($J117="",$K117,IF($J117='Auto Responses'!$J$13,5,IF($J117='Auto Responses'!$J$12,10,IF($J117='Auto Responses'!$J$11,20,0)))))</f>
        <v>N/A</v>
      </c>
      <c r="P117" s="284" t="str">
        <f>IF(OR($O117='Auto Responses'!$J$5,$L117='Auto Responses'!$J$5),'Auto Responses'!$J$5,$O117*$L117)</f>
        <v>N/A</v>
      </c>
      <c r="Q117" s="284">
        <f t="shared" si="8"/>
        <v>0</v>
      </c>
      <c r="R117" s="284">
        <f t="shared" si="12"/>
        <v>0</v>
      </c>
      <c r="S117" s="284">
        <f t="shared" si="9"/>
        <v>0</v>
      </c>
      <c r="T117" s="284">
        <f t="shared" si="10"/>
        <v>1</v>
      </c>
      <c r="U117" s="284">
        <f t="shared" si="13"/>
        <v>40</v>
      </c>
      <c r="V117" s="284">
        <f t="shared" si="11"/>
        <v>40</v>
      </c>
    </row>
    <row r="118" spans="1:22" ht="55.5" customHeight="1" x14ac:dyDescent="0.2">
      <c r="A118" s="315" t="str">
        <f>Questions!$A118</f>
        <v>DATA-07</v>
      </c>
      <c r="B118" s="315" t="str">
        <f t="shared" si="7"/>
        <v>DATA</v>
      </c>
      <c r="C118" s="315" t="str">
        <f>VLOOKUP($A118,Questions!$A$3:$L$333,2,0)&amp;""</f>
        <v>Do backups containing the institution's data ever leave the institution's data zone either physically or via network routing?*</v>
      </c>
      <c r="D118" s="315" t="str">
        <f>VLOOKUP($A118,Questions!$A$3:$L$333,11,0)&amp;""</f>
        <v/>
      </c>
      <c r="E118" s="315" t="str">
        <f>VLOOKUP($A118,Questions!$A$3:$L$333,12,0)&amp;""</f>
        <v>Product</v>
      </c>
      <c r="F118" s="315" t="str">
        <f>VLOOKUP($A118,'Institution Evaluation'!$A$56:$K$345,3,0)&amp;""</f>
        <v>N/A</v>
      </c>
      <c r="G118" s="315" t="str">
        <f>VLOOKUP($A118,'Institution Evaluation'!$A$56:$K$345,7,0)&amp;""</f>
        <v>No</v>
      </c>
      <c r="H118" s="315" t="str">
        <f>VLOOKUP($A118,'Institution Evaluation'!$A$56:$K$345,8,0)&amp;""</f>
        <v/>
      </c>
      <c r="I118" s="315" t="str">
        <f>VLOOKUP($A118,'Institution Evaluation'!$A$56:$K$345,9,0)&amp;""</f>
        <v>Critical Importance</v>
      </c>
      <c r="J118" s="315" t="str">
        <f>VLOOKUP($A118,'Institution Evaluation'!$A$56:$K$345,10,0)&amp;""</f>
        <v/>
      </c>
      <c r="K118" s="315">
        <f>IF($I118='Auto Responses'!$J$11,20,IF($I118='Auto Responses'!$J$13,5,10))</f>
        <v>20</v>
      </c>
      <c r="L118" s="284">
        <f>IF($E118='Auto Responses'!$L$13, 'Auto Responses'!$J$5,IF(AND($D118='Auto Responses'!$J$27,$H118=""),'Auto Responses'!$J$5,IF(AND($D118='Auto Responses'!$J$27,$H118='Auto Responses'!$J$7),1,IF(AND($D118='Auto Responses'!$J$27,$H118='Auto Responses'!$J$8),0,IF(OR(AND($F118=$G118,$H118=""),$H118='Auto Responses'!$J$7),1,0)))))</f>
        <v>0</v>
      </c>
      <c r="M118" s="315" t="str">
        <f>VLOOKUP($A118,'Institution Evaluation'!$A$56:$K$345,11,0)&amp;""</f>
        <v>FALSCH</v>
      </c>
      <c r="N118" s="315">
        <f>IF($J118='Auto Responses'!$J$11,1,IF(AND($J118="",$I118='Auto Responses'!$J$11),1,0))</f>
        <v>1</v>
      </c>
      <c r="O118" s="284" t="str">
        <f>IF(OR($F$17='Auto Responses'!$J$4,$E118='Auto Responses'!$L$13,$F118='Auto Responses'!$J$5),'Auto Responses'!$J$5,IF($J118="",$K118,IF($J118='Auto Responses'!$J$13,5,IF($J118='Auto Responses'!$J$12,10,IF($J118='Auto Responses'!$J$11,20,0)))))</f>
        <v>N/A</v>
      </c>
      <c r="P118" s="284" t="str">
        <f>IF(OR($O118='Auto Responses'!$J$5,$L118='Auto Responses'!$J$5),'Auto Responses'!$J$5,$O118*$L118)</f>
        <v>N/A</v>
      </c>
      <c r="Q118" s="284">
        <f t="shared" si="8"/>
        <v>0</v>
      </c>
      <c r="R118" s="284">
        <f t="shared" si="12"/>
        <v>0</v>
      </c>
      <c r="S118" s="284">
        <f t="shared" si="9"/>
        <v>0</v>
      </c>
      <c r="T118" s="284">
        <f t="shared" si="10"/>
        <v>1</v>
      </c>
      <c r="U118" s="284">
        <f t="shared" si="13"/>
        <v>41</v>
      </c>
      <c r="V118" s="284">
        <f t="shared" si="11"/>
        <v>41</v>
      </c>
    </row>
    <row r="119" spans="1:22" ht="55.5" customHeight="1" x14ac:dyDescent="0.2">
      <c r="A119" s="315" t="str">
        <f>Questions!$A119</f>
        <v>DATA-08</v>
      </c>
      <c r="B119" s="315" t="str">
        <f t="shared" si="7"/>
        <v>DATA</v>
      </c>
      <c r="C119" s="315" t="str">
        <f>VLOOKUP($A119,Questions!$A$3:$L$333,2,0)&amp;""</f>
        <v>Is media used for long-term retention of business data and archival purposes stored in a secure, environmentally protected area?*</v>
      </c>
      <c r="D119" s="315" t="str">
        <f>VLOOKUP($A119,Questions!$A$3:$L$333,11,0)&amp;""</f>
        <v/>
      </c>
      <c r="E119" s="315" t="str">
        <f>VLOOKUP($A119,Questions!$A$3:$L$333,12,0)&amp;""</f>
        <v>Product</v>
      </c>
      <c r="F119" s="315" t="str">
        <f>VLOOKUP($A119,'Institution Evaluation'!$A$56:$K$345,3,0)&amp;""</f>
        <v>N/A</v>
      </c>
      <c r="G119" s="315" t="str">
        <f>VLOOKUP($A119,'Institution Evaluation'!$A$56:$K$345,7,0)&amp;""</f>
        <v>Yes</v>
      </c>
      <c r="H119" s="315" t="str">
        <f>VLOOKUP($A119,'Institution Evaluation'!$A$56:$K$345,8,0)&amp;""</f>
        <v/>
      </c>
      <c r="I119" s="315" t="str">
        <f>VLOOKUP($A119,'Institution Evaluation'!$A$56:$K$345,9,0)&amp;""</f>
        <v>Critical Importance</v>
      </c>
      <c r="J119" s="315" t="str">
        <f>VLOOKUP($A119,'Institution Evaluation'!$A$56:$K$345,10,0)&amp;""</f>
        <v/>
      </c>
      <c r="K119" s="315">
        <f>IF($I119='Auto Responses'!$J$11,20,IF($I119='Auto Responses'!$J$13,5,10))</f>
        <v>20</v>
      </c>
      <c r="L119" s="284">
        <f>IF($E119='Auto Responses'!$L$13, 'Auto Responses'!$J$5,IF(AND($D119='Auto Responses'!$J$27,$H119=""),'Auto Responses'!$J$5,IF(AND($D119='Auto Responses'!$J$27,$H119='Auto Responses'!$J$7),1,IF(AND($D119='Auto Responses'!$J$27,$H119='Auto Responses'!$J$8),0,IF(OR(AND($F119=$G119,$H119=""),$H119='Auto Responses'!$J$7),1,0)))))</f>
        <v>0</v>
      </c>
      <c r="M119" s="315" t="str">
        <f>VLOOKUP($A119,'Institution Evaluation'!$A$56:$K$345,11,0)&amp;""</f>
        <v>FALSCH</v>
      </c>
      <c r="N119" s="315">
        <f>IF($J119='Auto Responses'!$J$11,1,IF(AND($J119="",$I119='Auto Responses'!$J$11),1,0))</f>
        <v>1</v>
      </c>
      <c r="O119" s="284" t="str">
        <f>IF(OR($F$17='Auto Responses'!$J$4,$E119='Auto Responses'!$L$13,$F119='Auto Responses'!$J$5),'Auto Responses'!$J$5,IF($J119="",$K119,IF($J119='Auto Responses'!$J$13,5,IF($J119='Auto Responses'!$J$12,10,IF($J119='Auto Responses'!$J$11,20,0)))))</f>
        <v>N/A</v>
      </c>
      <c r="P119" s="284" t="str">
        <f>IF(OR($O119='Auto Responses'!$J$5,$L119='Auto Responses'!$J$5),'Auto Responses'!$J$5,$O119*$L119)</f>
        <v>N/A</v>
      </c>
      <c r="Q119" s="284">
        <f t="shared" si="8"/>
        <v>0</v>
      </c>
      <c r="R119" s="284">
        <f t="shared" si="12"/>
        <v>0</v>
      </c>
      <c r="S119" s="284">
        <f t="shared" si="9"/>
        <v>0</v>
      </c>
      <c r="T119" s="284">
        <f t="shared" si="10"/>
        <v>1</v>
      </c>
      <c r="U119" s="284">
        <f t="shared" si="13"/>
        <v>42</v>
      </c>
      <c r="V119" s="284">
        <f t="shared" si="11"/>
        <v>42</v>
      </c>
    </row>
    <row r="120" spans="1:22" ht="55.5" customHeight="1" x14ac:dyDescent="0.2">
      <c r="A120" s="315" t="str">
        <f>Questions!$A120</f>
        <v>DATA-09</v>
      </c>
      <c r="B120" s="315" t="str">
        <f t="shared" si="7"/>
        <v>DATA</v>
      </c>
      <c r="C120" s="315" t="str">
        <f>VLOOKUP($A120,Questions!$A$3:$L$333,2,0)&amp;""</f>
        <v>At the completion of this contract, will data be returned to the institution and/or deleted from all your systems and archives?</v>
      </c>
      <c r="D120" s="315" t="str">
        <f>VLOOKUP($A120,Questions!$A$3:$L$333,11,0)&amp;""</f>
        <v/>
      </c>
      <c r="E120" s="315" t="str">
        <f>VLOOKUP($A120,Questions!$A$3:$L$333,12,0)&amp;""</f>
        <v>Product</v>
      </c>
      <c r="F120" s="315" t="str">
        <f>VLOOKUP($A120,'Institution Evaluation'!$A$56:$K$345,3,0)&amp;""</f>
        <v>N/A</v>
      </c>
      <c r="G120" s="315" t="str">
        <f>VLOOKUP($A120,'Institution Evaluation'!$A$56:$K$345,7,0)&amp;""</f>
        <v>Yes</v>
      </c>
      <c r="H120" s="315" t="str">
        <f>VLOOKUP($A120,'Institution Evaluation'!$A$56:$K$345,8,0)&amp;""</f>
        <v/>
      </c>
      <c r="I120" s="315" t="str">
        <f>VLOOKUP($A120,'Institution Evaluation'!$A$56:$K$345,9,0)&amp;""</f>
        <v>Standard Importance</v>
      </c>
      <c r="J120" s="315" t="str">
        <f>VLOOKUP($A120,'Institution Evaluation'!$A$56:$K$345,10,0)&amp;""</f>
        <v/>
      </c>
      <c r="K120" s="315">
        <f>IF($I120='Auto Responses'!$J$11,20,IF($I120='Auto Responses'!$J$13,5,10))</f>
        <v>10</v>
      </c>
      <c r="L120" s="284">
        <f>IF($E120='Auto Responses'!$L$13, 'Auto Responses'!$J$5,IF(AND($D120='Auto Responses'!$J$27,$H120=""),'Auto Responses'!$J$5,IF(AND($D120='Auto Responses'!$J$27,$H120='Auto Responses'!$J$7),1,IF(AND($D120='Auto Responses'!$J$27,$H120='Auto Responses'!$J$8),0,IF(OR(AND($F120=$G120,$H120=""),$H120='Auto Responses'!$J$7),1,0)))))</f>
        <v>0</v>
      </c>
      <c r="M120" s="315" t="str">
        <f>VLOOKUP($A120,'Institution Evaluation'!$A$56:$K$345,11,0)&amp;""</f>
        <v>FALSCH</v>
      </c>
      <c r="N120" s="315">
        <f>IF($J120='Auto Responses'!$J$11,1,IF(AND($J120="",$I120='Auto Responses'!$J$11),1,0))</f>
        <v>0</v>
      </c>
      <c r="O120" s="284" t="str">
        <f>IF(OR($F$17='Auto Responses'!$J$4,$E120='Auto Responses'!$L$13,$F120='Auto Responses'!$J$5),'Auto Responses'!$J$5,IF($J120="",$K120,IF($J120='Auto Responses'!$J$13,5,IF($J120='Auto Responses'!$J$12,10,IF($J120='Auto Responses'!$J$11,20,0)))))</f>
        <v>N/A</v>
      </c>
      <c r="P120" s="284" t="str">
        <f>IF(OR($O120='Auto Responses'!$J$5,$L120='Auto Responses'!$J$5),'Auto Responses'!$J$5,$O120*$L120)</f>
        <v>N/A</v>
      </c>
      <c r="Q120" s="284">
        <f t="shared" si="8"/>
        <v>0</v>
      </c>
      <c r="R120" s="284">
        <f t="shared" si="12"/>
        <v>0</v>
      </c>
      <c r="S120" s="284">
        <f t="shared" si="9"/>
        <v>0</v>
      </c>
      <c r="T120" s="284">
        <f t="shared" si="10"/>
        <v>0</v>
      </c>
      <c r="U120" s="284">
        <f t="shared" si="13"/>
        <v>42</v>
      </c>
      <c r="V120" s="284">
        <f t="shared" si="11"/>
        <v>0</v>
      </c>
    </row>
    <row r="121" spans="1:22" ht="55.5" customHeight="1" x14ac:dyDescent="0.2">
      <c r="A121" s="315" t="str">
        <f>Questions!$A121</f>
        <v>DATA-10</v>
      </c>
      <c r="B121" s="315" t="str">
        <f t="shared" si="7"/>
        <v>DATA</v>
      </c>
      <c r="C121" s="315" t="str">
        <f>VLOOKUP($A121,Questions!$A$3:$L$333,2,0)&amp;""</f>
        <v>Can the institution extract a full or partial backup of data?</v>
      </c>
      <c r="D121" s="315" t="str">
        <f>VLOOKUP($A121,Questions!$A$3:$L$333,11,0)&amp;""</f>
        <v/>
      </c>
      <c r="E121" s="315" t="str">
        <f>VLOOKUP($A121,Questions!$A$3:$L$333,12,0)&amp;""</f>
        <v>Product</v>
      </c>
      <c r="F121" s="315" t="str">
        <f>VLOOKUP($A121,'Institution Evaluation'!$A$56:$K$345,3,0)&amp;""</f>
        <v>N/A</v>
      </c>
      <c r="G121" s="315" t="str">
        <f>VLOOKUP($A121,'Institution Evaluation'!$A$56:$K$345,7,0)&amp;""</f>
        <v>Yes</v>
      </c>
      <c r="H121" s="315" t="str">
        <f>VLOOKUP($A121,'Institution Evaluation'!$A$56:$K$345,8,0)&amp;""</f>
        <v/>
      </c>
      <c r="I121" s="315" t="str">
        <f>VLOOKUP($A121,'Institution Evaluation'!$A$56:$K$345,9,0)&amp;""</f>
        <v>Standard Importance</v>
      </c>
      <c r="J121" s="315" t="str">
        <f>VLOOKUP($A121,'Institution Evaluation'!$A$56:$K$345,10,0)&amp;""</f>
        <v/>
      </c>
      <c r="K121" s="315">
        <f>IF($I121='Auto Responses'!$J$11,20,IF($I121='Auto Responses'!$J$13,5,10))</f>
        <v>10</v>
      </c>
      <c r="L121" s="284">
        <f>IF($E121='Auto Responses'!$L$13, 'Auto Responses'!$J$5,IF(AND($D121='Auto Responses'!$J$27,$H121=""),'Auto Responses'!$J$5,IF(AND($D121='Auto Responses'!$J$27,$H121='Auto Responses'!$J$7),1,IF(AND($D121='Auto Responses'!$J$27,$H121='Auto Responses'!$J$8),0,IF(OR(AND($F121=$G121,$H121=""),$H121='Auto Responses'!$J$7),1,0)))))</f>
        <v>0</v>
      </c>
      <c r="M121" s="315" t="str">
        <f>VLOOKUP($A121,'Institution Evaluation'!$A$56:$K$345,11,0)&amp;""</f>
        <v>FALSCH</v>
      </c>
      <c r="N121" s="315">
        <f>IF($J121='Auto Responses'!$J$11,1,IF(AND($J121="",$I121='Auto Responses'!$J$11),1,0))</f>
        <v>0</v>
      </c>
      <c r="O121" s="284" t="str">
        <f>IF(OR($F$17='Auto Responses'!$J$4,$E121='Auto Responses'!$L$13,$F121='Auto Responses'!$J$5),'Auto Responses'!$J$5,IF($J121="",$K121,IF($J121='Auto Responses'!$J$13,5,IF($J121='Auto Responses'!$J$12,10,IF($J121='Auto Responses'!$J$11,20,0)))))</f>
        <v>N/A</v>
      </c>
      <c r="P121" s="284" t="str">
        <f>IF(OR($O121='Auto Responses'!$J$5,$L121='Auto Responses'!$J$5),'Auto Responses'!$J$5,$O121*$L121)</f>
        <v>N/A</v>
      </c>
      <c r="Q121" s="284">
        <f t="shared" si="8"/>
        <v>0</v>
      </c>
      <c r="R121" s="284">
        <f t="shared" si="12"/>
        <v>0</v>
      </c>
      <c r="S121" s="284">
        <f t="shared" si="9"/>
        <v>0</v>
      </c>
      <c r="T121" s="284">
        <f t="shared" si="10"/>
        <v>0</v>
      </c>
      <c r="U121" s="284">
        <f t="shared" si="13"/>
        <v>42</v>
      </c>
      <c r="V121" s="284">
        <f t="shared" si="11"/>
        <v>0</v>
      </c>
    </row>
    <row r="122" spans="1:22" ht="55.5" customHeight="1" x14ac:dyDescent="0.2">
      <c r="A122" s="315" t="str">
        <f>Questions!$A122</f>
        <v>DATA-11</v>
      </c>
      <c r="B122" s="315" t="str">
        <f t="shared" si="7"/>
        <v>DATA</v>
      </c>
      <c r="C122" s="315" t="str">
        <f>VLOOKUP($A122,Questions!$A$3:$L$333,2,0)&amp;""</f>
        <v>Do current backups include all operating system software, utilities, security software, application software, and data files necessary for recovery?</v>
      </c>
      <c r="D122" s="315" t="str">
        <f>VLOOKUP($A122,Questions!$A$3:$L$333,11,0)&amp;""</f>
        <v/>
      </c>
      <c r="E122" s="315" t="str">
        <f>VLOOKUP($A122,Questions!$A$3:$L$333,12,0)&amp;""</f>
        <v>Product</v>
      </c>
      <c r="F122" s="315" t="str">
        <f>VLOOKUP($A122,'Institution Evaluation'!$A$56:$K$345,3,0)&amp;""</f>
        <v>N/A</v>
      </c>
      <c r="G122" s="315" t="str">
        <f>VLOOKUP($A122,'Institution Evaluation'!$A$56:$K$345,7,0)&amp;""</f>
        <v>Yes</v>
      </c>
      <c r="H122" s="315" t="str">
        <f>VLOOKUP($A122,'Institution Evaluation'!$A$56:$K$345,8,0)&amp;""</f>
        <v/>
      </c>
      <c r="I122" s="315" t="str">
        <f>VLOOKUP($A122,'Institution Evaluation'!$A$56:$K$345,9,0)&amp;""</f>
        <v>Standard Importance</v>
      </c>
      <c r="J122" s="315" t="str">
        <f>VLOOKUP($A122,'Institution Evaluation'!$A$56:$K$345,10,0)&amp;""</f>
        <v/>
      </c>
      <c r="K122" s="315">
        <f>IF($I122='Auto Responses'!$J$11,20,IF($I122='Auto Responses'!$J$13,5,10))</f>
        <v>10</v>
      </c>
      <c r="L122" s="284">
        <f>IF($E122='Auto Responses'!$L$13, 'Auto Responses'!$J$5,IF(AND($D122='Auto Responses'!$J$27,$H122=""),'Auto Responses'!$J$5,IF(AND($D122='Auto Responses'!$J$27,$H122='Auto Responses'!$J$7),1,IF(AND($D122='Auto Responses'!$J$27,$H122='Auto Responses'!$J$8),0,IF(OR(AND($F122=$G122,$H122=""),$H122='Auto Responses'!$J$7),1,0)))))</f>
        <v>0</v>
      </c>
      <c r="M122" s="315" t="str">
        <f>VLOOKUP($A122,'Institution Evaluation'!$A$56:$K$345,11,0)&amp;""</f>
        <v>FALSCH</v>
      </c>
      <c r="N122" s="315">
        <f>IF($J122='Auto Responses'!$J$11,1,IF(AND($J122="",$I122='Auto Responses'!$J$11),1,0))</f>
        <v>0</v>
      </c>
      <c r="O122" s="284" t="str">
        <f>IF(OR($F$17='Auto Responses'!$J$4,$E122='Auto Responses'!$L$13,$F122='Auto Responses'!$J$5),'Auto Responses'!$J$5,IF($J122="",$K122,IF($J122='Auto Responses'!$J$13,5,IF($J122='Auto Responses'!$J$12,10,IF($J122='Auto Responses'!$J$11,20,0)))))</f>
        <v>N/A</v>
      </c>
      <c r="P122" s="284" t="str">
        <f>IF(OR($O122='Auto Responses'!$J$5,$L122='Auto Responses'!$J$5),'Auto Responses'!$J$5,$O122*$L122)</f>
        <v>N/A</v>
      </c>
      <c r="Q122" s="284">
        <f t="shared" si="8"/>
        <v>0</v>
      </c>
      <c r="R122" s="284">
        <f t="shared" si="12"/>
        <v>0</v>
      </c>
      <c r="S122" s="284">
        <f t="shared" si="9"/>
        <v>0</v>
      </c>
      <c r="T122" s="284">
        <f t="shared" si="10"/>
        <v>0</v>
      </c>
      <c r="U122" s="284">
        <f t="shared" si="13"/>
        <v>42</v>
      </c>
      <c r="V122" s="284">
        <f t="shared" si="11"/>
        <v>0</v>
      </c>
    </row>
    <row r="123" spans="1:22" ht="55.5" customHeight="1" x14ac:dyDescent="0.2">
      <c r="A123" s="315" t="str">
        <f>Questions!$A123</f>
        <v>DATA-12</v>
      </c>
      <c r="B123" s="315" t="str">
        <f t="shared" si="7"/>
        <v>DATA</v>
      </c>
      <c r="C123" s="315" t="str">
        <f>VLOOKUP($A123,Questions!$A$3:$L$333,2,0)&amp;""</f>
        <v>Are you performing off-site backups (i.e., digitally moved off site)?</v>
      </c>
      <c r="D123" s="315" t="str">
        <f>VLOOKUP($A123,Questions!$A$3:$L$333,11,0)&amp;""</f>
        <v/>
      </c>
      <c r="E123" s="315" t="str">
        <f>VLOOKUP($A123,Questions!$A$3:$L$333,12,0)&amp;""</f>
        <v>Product</v>
      </c>
      <c r="F123" s="315" t="str">
        <f>VLOOKUP($A123,'Institution Evaluation'!$A$56:$K$345,3,0)&amp;""</f>
        <v>N/A</v>
      </c>
      <c r="G123" s="315" t="str">
        <f>VLOOKUP($A123,'Institution Evaluation'!$A$56:$K$345,7,0)&amp;""</f>
        <v>Yes</v>
      </c>
      <c r="H123" s="315" t="str">
        <f>VLOOKUP($A123,'Institution Evaluation'!$A$56:$K$345,8,0)&amp;""</f>
        <v/>
      </c>
      <c r="I123" s="315" t="str">
        <f>VLOOKUP($A123,'Institution Evaluation'!$A$56:$K$345,9,0)&amp;""</f>
        <v>Standard Importance</v>
      </c>
      <c r="J123" s="315" t="str">
        <f>VLOOKUP($A123,'Institution Evaluation'!$A$56:$K$345,10,0)&amp;""</f>
        <v/>
      </c>
      <c r="K123" s="315">
        <f>IF($I123='Auto Responses'!$J$11,20,IF($I123='Auto Responses'!$J$13,5,10))</f>
        <v>10</v>
      </c>
      <c r="L123" s="284">
        <f>IF($E123='Auto Responses'!$L$13, 'Auto Responses'!$J$5,IF(AND($D123='Auto Responses'!$J$27,$H123=""),'Auto Responses'!$J$5,IF(AND($D123='Auto Responses'!$J$27,$H123='Auto Responses'!$J$7),1,IF(AND($D123='Auto Responses'!$J$27,$H123='Auto Responses'!$J$8),0,IF(OR(AND($F123=$G123,$H123=""),$H123='Auto Responses'!$J$7),1,0)))))</f>
        <v>0</v>
      </c>
      <c r="M123" s="315" t="str">
        <f>VLOOKUP($A123,'Institution Evaluation'!$A$56:$K$345,11,0)&amp;""</f>
        <v>FALSCH</v>
      </c>
      <c r="N123" s="315">
        <f>IF($J123='Auto Responses'!$J$11,1,IF(AND($J123="",$I123='Auto Responses'!$J$11),1,0))</f>
        <v>0</v>
      </c>
      <c r="O123" s="284" t="str">
        <f>IF(OR($F$17='Auto Responses'!$J$4,$E123='Auto Responses'!$L$13,$F123='Auto Responses'!$J$5),'Auto Responses'!$J$5,IF($J123="",$K123,IF($J123='Auto Responses'!$J$13,5,IF($J123='Auto Responses'!$J$12,10,IF($J123='Auto Responses'!$J$11,20,0)))))</f>
        <v>N/A</v>
      </c>
      <c r="P123" s="284" t="str">
        <f>IF(OR($O123='Auto Responses'!$J$5,$L123='Auto Responses'!$J$5),'Auto Responses'!$J$5,$O123*$L123)</f>
        <v>N/A</v>
      </c>
      <c r="Q123" s="284">
        <f t="shared" si="8"/>
        <v>0</v>
      </c>
      <c r="R123" s="284">
        <f t="shared" si="12"/>
        <v>0</v>
      </c>
      <c r="S123" s="284">
        <f t="shared" si="9"/>
        <v>0</v>
      </c>
      <c r="T123" s="284">
        <f t="shared" si="10"/>
        <v>0</v>
      </c>
      <c r="U123" s="284">
        <f t="shared" si="13"/>
        <v>42</v>
      </c>
      <c r="V123" s="284">
        <f t="shared" si="11"/>
        <v>0</v>
      </c>
    </row>
    <row r="124" spans="1:22" ht="55.5" customHeight="1" x14ac:dyDescent="0.2">
      <c r="A124" s="315" t="str">
        <f>Questions!$A124</f>
        <v>DATA-13</v>
      </c>
      <c r="B124" s="315" t="str">
        <f t="shared" si="7"/>
        <v>DATA</v>
      </c>
      <c r="C124" s="315" t="str">
        <f>VLOOKUP($A124,Questions!$A$3:$L$333,2,0)&amp;""</f>
        <v>Are physical backups taken off-site (i.e., physically moved off site)?</v>
      </c>
      <c r="D124" s="315" t="str">
        <f>VLOOKUP($A124,Questions!$A$3:$L$333,11,0)&amp;""</f>
        <v/>
      </c>
      <c r="E124" s="315" t="str">
        <f>VLOOKUP($A124,Questions!$A$3:$L$333,12,0)&amp;""</f>
        <v>Product</v>
      </c>
      <c r="F124" s="315" t="str">
        <f>VLOOKUP($A124,'Institution Evaluation'!$A$56:$K$345,3,0)&amp;""</f>
        <v>N/A</v>
      </c>
      <c r="G124" s="315" t="str">
        <f>VLOOKUP($A124,'Institution Evaluation'!$A$56:$K$345,7,0)&amp;""</f>
        <v>Yes</v>
      </c>
      <c r="H124" s="315" t="str">
        <f>VLOOKUP($A124,'Institution Evaluation'!$A$56:$K$345,8,0)&amp;""</f>
        <v/>
      </c>
      <c r="I124" s="315" t="str">
        <f>VLOOKUP($A124,'Institution Evaluation'!$A$56:$K$345,9,0)&amp;""</f>
        <v>Standard Importance</v>
      </c>
      <c r="J124" s="315" t="str">
        <f>VLOOKUP($A124,'Institution Evaluation'!$A$56:$K$345,10,0)&amp;""</f>
        <v/>
      </c>
      <c r="K124" s="315">
        <f>IF($I124='Auto Responses'!$J$11,20,IF($I124='Auto Responses'!$J$13,5,10))</f>
        <v>10</v>
      </c>
      <c r="L124" s="284">
        <f>IF($E124='Auto Responses'!$L$13, 'Auto Responses'!$J$5,IF(AND($D124='Auto Responses'!$J$27,$H124=""),'Auto Responses'!$J$5,IF(AND($D124='Auto Responses'!$J$27,$H124='Auto Responses'!$J$7),1,IF(AND($D124='Auto Responses'!$J$27,$H124='Auto Responses'!$J$8),0,IF(OR(AND($F124=$G124,$H124=""),$H124='Auto Responses'!$J$7),1,0)))))</f>
        <v>0</v>
      </c>
      <c r="M124" s="315" t="str">
        <f>VLOOKUP($A124,'Institution Evaluation'!$A$56:$K$345,11,0)&amp;""</f>
        <v>FALSCH</v>
      </c>
      <c r="N124" s="315">
        <f>IF($J124='Auto Responses'!$J$11,1,IF(AND($J124="",$I124='Auto Responses'!$J$11),1,0))</f>
        <v>0</v>
      </c>
      <c r="O124" s="284" t="str">
        <f>IF(OR($F$17='Auto Responses'!$J$4,$E124='Auto Responses'!$L$13,$F124='Auto Responses'!$J$5),'Auto Responses'!$J$5,IF($J124="",$K124,IF($J124='Auto Responses'!$J$13,5,IF($J124='Auto Responses'!$J$12,10,IF($J124='Auto Responses'!$J$11,20,0)))))</f>
        <v>N/A</v>
      </c>
      <c r="P124" s="284" t="str">
        <f>IF(OR($O124='Auto Responses'!$J$5,$L124='Auto Responses'!$J$5),'Auto Responses'!$J$5,$O124*$L124)</f>
        <v>N/A</v>
      </c>
      <c r="Q124" s="284">
        <f t="shared" si="8"/>
        <v>0</v>
      </c>
      <c r="R124" s="284">
        <f t="shared" si="12"/>
        <v>0</v>
      </c>
      <c r="S124" s="284">
        <f t="shared" si="9"/>
        <v>0</v>
      </c>
      <c r="T124" s="284">
        <f t="shared" si="10"/>
        <v>0</v>
      </c>
      <c r="U124" s="284">
        <f t="shared" si="13"/>
        <v>42</v>
      </c>
      <c r="V124" s="284">
        <f t="shared" si="11"/>
        <v>0</v>
      </c>
    </row>
    <row r="125" spans="1:22" ht="69.75" customHeight="1" x14ac:dyDescent="0.2">
      <c r="A125" s="315" t="str">
        <f>Questions!$A126</f>
        <v>DATA-15</v>
      </c>
      <c r="B125" s="315" t="str">
        <f t="shared" si="7"/>
        <v>DATA</v>
      </c>
      <c r="C125" s="315" t="str">
        <f>VLOOKUP($A125,Questions!$A$3:$L$333,2,0)&amp;""</f>
        <v>Do you have a media handling process that is documented and currently implemented that meets established business needs and regulatory requirements, including end-of-life, repurposing, and data-sanitization procedures?</v>
      </c>
      <c r="D125" s="315" t="str">
        <f>VLOOKUP($A125,Questions!$A$3:$L$333,11,0)&amp;""</f>
        <v/>
      </c>
      <c r="E125" s="315" t="str">
        <f>VLOOKUP($A125,Questions!$A$3:$L$333,12,0)&amp;""</f>
        <v>Product</v>
      </c>
      <c r="F125" s="315" t="str">
        <f>VLOOKUP($A125,'Institution Evaluation'!$A$56:$K$345,3,0)&amp;""</f>
        <v>N/A</v>
      </c>
      <c r="G125" s="315" t="str">
        <f>VLOOKUP($A125,'Institution Evaluation'!$A$56:$K$345,7,0)&amp;""</f>
        <v>Yes</v>
      </c>
      <c r="H125" s="315" t="str">
        <f>VLOOKUP($A125,'Institution Evaluation'!$A$56:$K$345,8,0)&amp;""</f>
        <v/>
      </c>
      <c r="I125" s="315" t="str">
        <f>VLOOKUP($A125,'Institution Evaluation'!$A$56:$K$345,9,0)&amp;""</f>
        <v>Standard Importance</v>
      </c>
      <c r="J125" s="315" t="str">
        <f>VLOOKUP($A125,'Institution Evaluation'!$A$56:$K$345,10,0)&amp;""</f>
        <v/>
      </c>
      <c r="K125" s="315">
        <f>IF($I125='Auto Responses'!$J$11,20,IF($I125='Auto Responses'!$J$13,5,10))</f>
        <v>10</v>
      </c>
      <c r="L125" s="284">
        <f>IF($E125='Auto Responses'!$L$13, 'Auto Responses'!$J$5,IF(AND($D125='Auto Responses'!$J$27,$H125=""),'Auto Responses'!$J$5,IF(AND($D125='Auto Responses'!$J$27,$H125='Auto Responses'!$J$7),1,IF(AND($D125='Auto Responses'!$J$27,$H125='Auto Responses'!$J$8),0,IF(OR(AND($F125=$G125,$H125=""),$H125='Auto Responses'!$J$7),1,0)))))</f>
        <v>0</v>
      </c>
      <c r="M125" s="315" t="str">
        <f>VLOOKUP($A125,'Institution Evaluation'!$A$56:$K$345,11,0)&amp;""</f>
        <v>FALSCH</v>
      </c>
      <c r="N125" s="315">
        <f>IF($J125='Auto Responses'!$J$11,1,IF(AND($J125="",$I125='Auto Responses'!$J$11),1,0))</f>
        <v>0</v>
      </c>
      <c r="O125" s="284" t="str">
        <f>IF(OR($F$17='Auto Responses'!$J$4,$E125='Auto Responses'!$L$13,$F125='Auto Responses'!$J$5),'Auto Responses'!$J$5,IF($J125="",$K125,IF($J125='Auto Responses'!$J$13,5,IF($J125='Auto Responses'!$J$12,10,IF($J125='Auto Responses'!$J$11,20,0)))))</f>
        <v>N/A</v>
      </c>
      <c r="P125" s="284" t="str">
        <f>IF(OR($O125='Auto Responses'!$J$5,$L125='Auto Responses'!$J$5),'Auto Responses'!$J$5,$O125*$L125)</f>
        <v>N/A</v>
      </c>
      <c r="Q125" s="284">
        <f t="shared" si="8"/>
        <v>0</v>
      </c>
      <c r="R125" s="284">
        <f t="shared" si="12"/>
        <v>0</v>
      </c>
      <c r="S125" s="284">
        <f t="shared" si="9"/>
        <v>0</v>
      </c>
      <c r="T125" s="284">
        <f t="shared" si="10"/>
        <v>0</v>
      </c>
      <c r="U125" s="284">
        <f t="shared" si="13"/>
        <v>42</v>
      </c>
      <c r="V125" s="284">
        <f t="shared" si="11"/>
        <v>0</v>
      </c>
    </row>
    <row r="126" spans="1:22" ht="55.5" customHeight="1" x14ac:dyDescent="0.2">
      <c r="A126" s="315" t="str">
        <f>Questions!$A127</f>
        <v>DATA-16</v>
      </c>
      <c r="B126" s="315" t="str">
        <f t="shared" si="7"/>
        <v>DATA</v>
      </c>
      <c r="C126" s="315" t="str">
        <f>VLOOKUP($A126,Questions!$A$3:$L$333,2,0)&amp;""</f>
        <v>Does the process described in DATA-15 adhere to DoD 5220.22-M and/or NIST SP 800-88 standards?</v>
      </c>
      <c r="D126" s="315" t="str">
        <f>VLOOKUP($A126,Questions!$A$3:$L$333,11,0)&amp;""</f>
        <v/>
      </c>
      <c r="E126" s="315" t="str">
        <f>VLOOKUP($A126,Questions!$A$3:$L$333,12,0)&amp;""</f>
        <v>Product</v>
      </c>
      <c r="F126" s="315" t="str">
        <f>VLOOKUP($A126,'Institution Evaluation'!$A$56:$K$345,3,0)&amp;""</f>
        <v>N/A</v>
      </c>
      <c r="G126" s="315" t="str">
        <f>VLOOKUP($A126,'Institution Evaluation'!$A$56:$K$345,7,0)&amp;""</f>
        <v>Yes</v>
      </c>
      <c r="H126" s="315" t="str">
        <f>VLOOKUP($A126,'Institution Evaluation'!$A$56:$K$345,8,0)&amp;""</f>
        <v/>
      </c>
      <c r="I126" s="315" t="str">
        <f>VLOOKUP($A126,'Institution Evaluation'!$A$56:$K$345,9,0)&amp;""</f>
        <v>Standard Importance</v>
      </c>
      <c r="J126" s="315" t="str">
        <f>VLOOKUP($A126,'Institution Evaluation'!$A$56:$K$345,10,0)&amp;""</f>
        <v/>
      </c>
      <c r="K126" s="315">
        <f>IF($I126='Auto Responses'!$J$11,20,IF($I126='Auto Responses'!$J$13,5,10))</f>
        <v>10</v>
      </c>
      <c r="L126" s="284">
        <f>IF($E126='Auto Responses'!$L$13, 'Auto Responses'!$J$5,IF(AND($D126='Auto Responses'!$J$27,$H126=""),'Auto Responses'!$J$5,IF(AND($D126='Auto Responses'!$J$27,$H126='Auto Responses'!$J$7),1,IF(AND($D126='Auto Responses'!$J$27,$H126='Auto Responses'!$J$8),0,IF(OR(AND($F126=$G126,$H126=""),$H126='Auto Responses'!$J$7),1,0)))))</f>
        <v>0</v>
      </c>
      <c r="M126" s="315" t="str">
        <f>VLOOKUP($A126,'Institution Evaluation'!$A$56:$K$345,11,0)&amp;""</f>
        <v>FALSCH</v>
      </c>
      <c r="N126" s="315">
        <f>IF($J126='Auto Responses'!$J$11,1,IF(AND($J126="",$I126='Auto Responses'!$J$11),1,0))</f>
        <v>0</v>
      </c>
      <c r="O126" s="284" t="str">
        <f>IF(OR($F$17='Auto Responses'!$J$4,$E126='Auto Responses'!$L$13,$F126='Auto Responses'!$J$5),'Auto Responses'!$J$5,IF($J126="",$K126,IF($J126='Auto Responses'!$J$13,5,IF($J126='Auto Responses'!$J$12,10,IF($J126='Auto Responses'!$J$11,20,0)))))</f>
        <v>N/A</v>
      </c>
      <c r="P126" s="284" t="str">
        <f>IF(OR($O126='Auto Responses'!$J$5,$L126='Auto Responses'!$J$5),'Auto Responses'!$J$5,$O126*$L126)</f>
        <v>N/A</v>
      </c>
      <c r="Q126" s="284">
        <f t="shared" si="8"/>
        <v>0</v>
      </c>
      <c r="R126" s="284">
        <f t="shared" si="12"/>
        <v>0</v>
      </c>
      <c r="S126" s="284">
        <f t="shared" si="9"/>
        <v>0</v>
      </c>
      <c r="T126" s="284">
        <f t="shared" si="10"/>
        <v>0</v>
      </c>
      <c r="U126" s="284">
        <f t="shared" si="13"/>
        <v>42</v>
      </c>
      <c r="V126" s="284">
        <f t="shared" si="11"/>
        <v>0</v>
      </c>
    </row>
    <row r="127" spans="1:22" ht="55.5" customHeight="1" x14ac:dyDescent="0.2">
      <c r="A127" s="315" t="str">
        <f>Questions!$A128</f>
        <v>DATA-17</v>
      </c>
      <c r="B127" s="315" t="str">
        <f t="shared" si="7"/>
        <v>DATA</v>
      </c>
      <c r="C127" s="315" t="str">
        <f>VLOOKUP($A127,Questions!$A$3:$L$333,2,0)&amp;""</f>
        <v>Does your staff (or third party) have access to institutional data (e.g., financial, PHI, or other sensitive information) through any means?</v>
      </c>
      <c r="D127" s="315" t="str">
        <f>VLOOKUP($A127,Questions!$A$3:$L$333,11,0)&amp;""</f>
        <v/>
      </c>
      <c r="E127" s="315" t="str">
        <f>VLOOKUP($A127,Questions!$A$3:$L$333,12,0)&amp;""</f>
        <v>Product</v>
      </c>
      <c r="F127" s="315" t="str">
        <f>VLOOKUP($A127,'Institution Evaluation'!$A$56:$K$345,3,0)&amp;""</f>
        <v>N/A</v>
      </c>
      <c r="G127" s="315" t="str">
        <f>VLOOKUP($A127,'Institution Evaluation'!$A$56:$K$345,7,0)&amp;""</f>
        <v>No</v>
      </c>
      <c r="H127" s="315" t="str">
        <f>VLOOKUP($A127,'Institution Evaluation'!$A$56:$K$345,8,0)&amp;""</f>
        <v/>
      </c>
      <c r="I127" s="315" t="str">
        <f>VLOOKUP($A127,'Institution Evaluation'!$A$56:$K$345,9,0)&amp;""</f>
        <v>Standard Importance</v>
      </c>
      <c r="J127" s="315" t="str">
        <f>VLOOKUP($A127,'Institution Evaluation'!$A$56:$K$345,10,0)&amp;""</f>
        <v/>
      </c>
      <c r="K127" s="315">
        <f>IF($I127='Auto Responses'!$J$11,20,IF($I127='Auto Responses'!$J$13,5,10))</f>
        <v>10</v>
      </c>
      <c r="L127" s="284">
        <f>IF($E127='Auto Responses'!$L$13, 'Auto Responses'!$J$5,IF(AND($D127='Auto Responses'!$J$27,$H127=""),'Auto Responses'!$J$5,IF(AND($D127='Auto Responses'!$J$27,$H127='Auto Responses'!$J$7),1,IF(AND($D127='Auto Responses'!$J$27,$H127='Auto Responses'!$J$8),0,IF(OR(AND($F127=$G127,$H127=""),$H127='Auto Responses'!$J$7),1,0)))))</f>
        <v>0</v>
      </c>
      <c r="M127" s="315" t="str">
        <f>VLOOKUP($A127,'Institution Evaluation'!$A$56:$K$345,11,0)&amp;""</f>
        <v>FALSCH</v>
      </c>
      <c r="N127" s="315">
        <f>IF($J127='Auto Responses'!$J$11,1,IF(AND($J127="",$I127='Auto Responses'!$J$11),1,0))</f>
        <v>0</v>
      </c>
      <c r="O127" s="284" t="str">
        <f>IF(OR($F$17='Auto Responses'!$J$4,$E127='Auto Responses'!$L$13,$F127='Auto Responses'!$J$5),'Auto Responses'!$J$5,IF($J127="",$K127,IF($J127='Auto Responses'!$J$13,5,IF($J127='Auto Responses'!$J$12,10,IF($J127='Auto Responses'!$J$11,20,0)))))</f>
        <v>N/A</v>
      </c>
      <c r="P127" s="284" t="str">
        <f>IF(OR($O127='Auto Responses'!$J$5,$L127='Auto Responses'!$J$5),'Auto Responses'!$J$5,$O127*$L127)</f>
        <v>N/A</v>
      </c>
      <c r="Q127" s="284">
        <f t="shared" si="8"/>
        <v>0</v>
      </c>
      <c r="R127" s="284">
        <f t="shared" si="12"/>
        <v>0</v>
      </c>
      <c r="S127" s="284">
        <f t="shared" si="9"/>
        <v>0</v>
      </c>
      <c r="T127" s="284">
        <f t="shared" si="10"/>
        <v>0</v>
      </c>
      <c r="U127" s="284">
        <f t="shared" si="13"/>
        <v>42</v>
      </c>
      <c r="V127" s="284">
        <f t="shared" si="11"/>
        <v>0</v>
      </c>
    </row>
    <row r="128" spans="1:22" ht="55.5" customHeight="1" x14ac:dyDescent="0.2">
      <c r="A128" s="315" t="str">
        <f>Questions!$A129</f>
        <v>DATA-18</v>
      </c>
      <c r="B128" s="315" t="str">
        <f t="shared" si="7"/>
        <v>DATA</v>
      </c>
      <c r="C128" s="315" t="str">
        <f>VLOOKUP($A128,Questions!$A$3:$L$333,2,0)&amp;""</f>
        <v>Do you have a documented and currently implemented strategy for securing employee workstations when they work remotely (i.e., not in a trusted computing environment)?</v>
      </c>
      <c r="D128" s="315" t="str">
        <f>VLOOKUP($A128,Questions!$A$3:$L$333,11,0)&amp;""</f>
        <v/>
      </c>
      <c r="E128" s="315" t="str">
        <f>VLOOKUP($A128,Questions!$A$3:$L$333,12,0)&amp;""</f>
        <v>Product</v>
      </c>
      <c r="F128" s="315" t="str">
        <f>VLOOKUP($A128,'Institution Evaluation'!$A$56:$K$345,3,0)&amp;""</f>
        <v>N/A</v>
      </c>
      <c r="G128" s="315" t="str">
        <f>VLOOKUP($A128,'Institution Evaluation'!$A$56:$K$345,7,0)&amp;""</f>
        <v>Yes</v>
      </c>
      <c r="H128" s="315" t="str">
        <f>VLOOKUP($A128,'Institution Evaluation'!$A$56:$K$345,8,0)&amp;""</f>
        <v/>
      </c>
      <c r="I128" s="315" t="str">
        <f>VLOOKUP($A128,'Institution Evaluation'!$A$56:$K$345,9,0)&amp;""</f>
        <v>Standard Importance</v>
      </c>
      <c r="J128" s="315" t="str">
        <f>VLOOKUP($A128,'Institution Evaluation'!$A$56:$K$345,10,0)&amp;""</f>
        <v/>
      </c>
      <c r="K128" s="315">
        <f>IF($I128='Auto Responses'!$J$11,20,IF($I128='Auto Responses'!$J$13,5,10))</f>
        <v>10</v>
      </c>
      <c r="L128" s="284">
        <f>IF($E128='Auto Responses'!$L$13, 'Auto Responses'!$J$5,IF(AND($D128='Auto Responses'!$J$27,$H128=""),'Auto Responses'!$J$5,IF(AND($D128='Auto Responses'!$J$27,$H128='Auto Responses'!$J$7),1,IF(AND($D128='Auto Responses'!$J$27,$H128='Auto Responses'!$J$8),0,IF(OR(AND($F128=$G128,$H128=""),$H128='Auto Responses'!$J$7),1,0)))))</f>
        <v>0</v>
      </c>
      <c r="M128" s="315" t="str">
        <f>VLOOKUP($A128,'Institution Evaluation'!$A$56:$K$345,11,0)&amp;""</f>
        <v>FALSCH</v>
      </c>
      <c r="N128" s="315">
        <f>IF($J128='Auto Responses'!$J$11,1,IF(AND($J128="",$I128='Auto Responses'!$J$11),1,0))</f>
        <v>0</v>
      </c>
      <c r="O128" s="284" t="str">
        <f>IF(OR($F$17='Auto Responses'!$J$4,$E128='Auto Responses'!$L$13,$F128='Auto Responses'!$J$5),'Auto Responses'!$J$5,IF($J128="",$K128,IF($J128='Auto Responses'!$J$13,5,IF($J128='Auto Responses'!$J$12,10,IF($J128='Auto Responses'!$J$11,20,0)))))</f>
        <v>N/A</v>
      </c>
      <c r="P128" s="284" t="str">
        <f>IF(OR($O128='Auto Responses'!$J$5,$L128='Auto Responses'!$J$5),'Auto Responses'!$J$5,$O128*$L128)</f>
        <v>N/A</v>
      </c>
      <c r="Q128" s="284">
        <f t="shared" si="8"/>
        <v>0</v>
      </c>
      <c r="R128" s="284">
        <f t="shared" si="12"/>
        <v>0</v>
      </c>
      <c r="S128" s="284">
        <f t="shared" si="9"/>
        <v>0</v>
      </c>
      <c r="T128" s="284">
        <f t="shared" si="10"/>
        <v>0</v>
      </c>
      <c r="U128" s="284">
        <f t="shared" si="13"/>
        <v>42</v>
      </c>
      <c r="V128" s="284">
        <f t="shared" si="11"/>
        <v>0</v>
      </c>
    </row>
    <row r="129" spans="1:22" ht="69.75" customHeight="1" x14ac:dyDescent="0.2">
      <c r="A129" s="315" t="str">
        <f>Questions!$A130</f>
        <v>DATA-19</v>
      </c>
      <c r="B129" s="315" t="str">
        <f t="shared" si="7"/>
        <v>DATA</v>
      </c>
      <c r="C129" s="315" t="str">
        <f>VLOOKUP($A129,Questions!$A$3:$L$333,2,0)&amp;""</f>
        <v>Does the environment provide for dedicated single-tenant capabilities? If not, describe how your solution or environment separates data from different customers (e.g., logically, physically, single tenancy, multi-tenancy).</v>
      </c>
      <c r="D129" s="315" t="str">
        <f>VLOOKUP($A129,Questions!$A$3:$L$333,11,0)&amp;""</f>
        <v/>
      </c>
      <c r="E129" s="315" t="str">
        <f>VLOOKUP($A129,Questions!$A$3:$L$333,12,0)&amp;""</f>
        <v>Product</v>
      </c>
      <c r="F129" s="315" t="str">
        <f>VLOOKUP($A129,'Institution Evaluation'!$A$56:$K$345,3,0)&amp;""</f>
        <v>N/A</v>
      </c>
      <c r="G129" s="315" t="str">
        <f>VLOOKUP($A129,'Institution Evaluation'!$A$56:$K$345,7,0)&amp;""</f>
        <v>Yes</v>
      </c>
      <c r="H129" s="315" t="str">
        <f>VLOOKUP($A129,'Institution Evaluation'!$A$56:$K$345,8,0)&amp;""</f>
        <v/>
      </c>
      <c r="I129" s="315" t="str">
        <f>VLOOKUP($A129,'Institution Evaluation'!$A$56:$K$345,9,0)&amp;""</f>
        <v>Minor Importance</v>
      </c>
      <c r="J129" s="315" t="str">
        <f>VLOOKUP($A129,'Institution Evaluation'!$A$56:$K$345,10,0)&amp;""</f>
        <v/>
      </c>
      <c r="K129" s="315">
        <f>IF($I129='Auto Responses'!$J$11,20,IF($I129='Auto Responses'!$J$13,5,10))</f>
        <v>5</v>
      </c>
      <c r="L129" s="284">
        <f>IF($E129='Auto Responses'!$L$13, 'Auto Responses'!$J$5,IF(AND($D129='Auto Responses'!$J$27,$H129=""),'Auto Responses'!$J$5,IF(AND($D129='Auto Responses'!$J$27,$H129='Auto Responses'!$J$7),1,IF(AND($D129='Auto Responses'!$J$27,$H129='Auto Responses'!$J$8),0,IF(OR(AND($F129=$G129,$H129=""),$H129='Auto Responses'!$J$7),1,0)))))</f>
        <v>0</v>
      </c>
      <c r="M129" s="315" t="str">
        <f>VLOOKUP($A129,'Institution Evaluation'!$A$56:$K$345,11,0)&amp;""</f>
        <v>FALSCH</v>
      </c>
      <c r="N129" s="315">
        <f>IF($J129='Auto Responses'!$J$11,1,IF(AND($J129="",$I129='Auto Responses'!$J$11),1,0))</f>
        <v>0</v>
      </c>
      <c r="O129" s="284" t="str">
        <f>IF(OR($F$17='Auto Responses'!$J$4,$E129='Auto Responses'!$L$13,$F129='Auto Responses'!$J$5),'Auto Responses'!$J$5,IF($J129="",$K129,IF($J129='Auto Responses'!$J$13,5,IF($J129='Auto Responses'!$J$12,10,IF($J129='Auto Responses'!$J$11,20,0)))))</f>
        <v>N/A</v>
      </c>
      <c r="P129" s="284" t="str">
        <f>IF(OR($O129='Auto Responses'!$J$5,$L129='Auto Responses'!$J$5),'Auto Responses'!$J$5,$O129*$L129)</f>
        <v>N/A</v>
      </c>
      <c r="Q129" s="284">
        <f t="shared" si="8"/>
        <v>0</v>
      </c>
      <c r="R129" s="284">
        <f t="shared" si="12"/>
        <v>0</v>
      </c>
      <c r="S129" s="284">
        <f t="shared" si="9"/>
        <v>0</v>
      </c>
      <c r="T129" s="284">
        <f t="shared" si="10"/>
        <v>0</v>
      </c>
      <c r="U129" s="284">
        <f t="shared" si="13"/>
        <v>42</v>
      </c>
      <c r="V129" s="284">
        <f t="shared" si="11"/>
        <v>0</v>
      </c>
    </row>
    <row r="130" spans="1:22" ht="55.5" customHeight="1" x14ac:dyDescent="0.2">
      <c r="A130" s="315" t="str">
        <f>Questions!$A131</f>
        <v>DATA-20</v>
      </c>
      <c r="B130" s="315" t="str">
        <f t="shared" si="7"/>
        <v>DATA</v>
      </c>
      <c r="C130" s="315" t="str">
        <f>VLOOKUP($A130,Questions!$A$3:$L$333,2,0)&amp;""</f>
        <v>Are ownership rights to all data, inputs, outputs, and metadata retained by the institution?</v>
      </c>
      <c r="D130" s="315" t="str">
        <f>VLOOKUP($A130,Questions!$A$3:$L$333,11,0)&amp;""</f>
        <v/>
      </c>
      <c r="E130" s="315" t="str">
        <f>VLOOKUP($A130,Questions!$A$3:$L$333,12,0)&amp;""</f>
        <v>Product</v>
      </c>
      <c r="F130" s="315" t="str">
        <f>VLOOKUP($A130,'Institution Evaluation'!$A$56:$K$345,3,0)&amp;""</f>
        <v>N/A</v>
      </c>
      <c r="G130" s="315" t="str">
        <f>VLOOKUP($A130,'Institution Evaluation'!$A$56:$K$345,7,0)&amp;""</f>
        <v>Yes</v>
      </c>
      <c r="H130" s="315" t="str">
        <f>VLOOKUP($A130,'Institution Evaluation'!$A$56:$K$345,8,0)&amp;""</f>
        <v/>
      </c>
      <c r="I130" s="315" t="str">
        <f>VLOOKUP($A130,'Institution Evaluation'!$A$56:$K$345,9,0)&amp;""</f>
        <v>Minor Importance</v>
      </c>
      <c r="J130" s="315" t="str">
        <f>VLOOKUP($A130,'Institution Evaluation'!$A$56:$K$345,10,0)&amp;""</f>
        <v/>
      </c>
      <c r="K130" s="315">
        <f>IF($I130='Auto Responses'!$J$11,20,IF($I130='Auto Responses'!$J$13,5,10))</f>
        <v>5</v>
      </c>
      <c r="L130" s="284">
        <f>IF($E130='Auto Responses'!$L$13, 'Auto Responses'!$J$5,IF(AND($D130='Auto Responses'!$J$27,$H130=""),'Auto Responses'!$J$5,IF(AND($D130='Auto Responses'!$J$27,$H130='Auto Responses'!$J$7),1,IF(AND($D130='Auto Responses'!$J$27,$H130='Auto Responses'!$J$8),0,IF(OR(AND($F130=$G130,$H130=""),$H130='Auto Responses'!$J$7),1,0)))))</f>
        <v>0</v>
      </c>
      <c r="M130" s="315" t="str">
        <f>VLOOKUP($A130,'Institution Evaluation'!$A$56:$K$345,11,0)&amp;""</f>
        <v>FALSCH</v>
      </c>
      <c r="N130" s="315">
        <f>IF($J130='Auto Responses'!$J$11,1,IF(AND($J130="",$I130='Auto Responses'!$J$11),1,0))</f>
        <v>0</v>
      </c>
      <c r="O130" s="284" t="str">
        <f>IF(OR($F$17='Auto Responses'!$J$4,$E130='Auto Responses'!$L$13,$F130='Auto Responses'!$J$5),'Auto Responses'!$J$5,IF($J130="",$K130,IF($J130='Auto Responses'!$J$13,5,IF($J130='Auto Responses'!$J$12,10,IF($J130='Auto Responses'!$J$11,20,0)))))</f>
        <v>N/A</v>
      </c>
      <c r="P130" s="284" t="str">
        <f>IF(OR($O130='Auto Responses'!$J$5,$L130='Auto Responses'!$J$5),'Auto Responses'!$J$5,$O130*$L130)</f>
        <v>N/A</v>
      </c>
      <c r="Q130" s="284">
        <f t="shared" si="8"/>
        <v>0</v>
      </c>
      <c r="R130" s="284">
        <f t="shared" si="12"/>
        <v>0</v>
      </c>
      <c r="S130" s="284">
        <f t="shared" si="9"/>
        <v>0</v>
      </c>
      <c r="T130" s="284">
        <f t="shared" si="10"/>
        <v>0</v>
      </c>
      <c r="U130" s="284">
        <f t="shared" si="13"/>
        <v>42</v>
      </c>
      <c r="V130" s="284">
        <f t="shared" si="11"/>
        <v>0</v>
      </c>
    </row>
    <row r="131" spans="1:22" ht="55.5" customHeight="1" x14ac:dyDescent="0.2">
      <c r="A131" s="315" t="str">
        <f>Questions!$A132</f>
        <v>DATA-21</v>
      </c>
      <c r="B131" s="315" t="str">
        <f t="shared" ref="B131:B194" si="14">LEFT(A131,4)</f>
        <v>DATA</v>
      </c>
      <c r="C131" s="315" t="str">
        <f>VLOOKUP($A131,Questions!$A$3:$L$333,2,0)&amp;""</f>
        <v>In the event of imminent bankruptcy, closing of business, or retirement of service, will you provide 90 days for customers to get their data out of the system and migrate applications?</v>
      </c>
      <c r="D131" s="315" t="str">
        <f>VLOOKUP($A131,Questions!$A$3:$L$333,11,0)&amp;""</f>
        <v/>
      </c>
      <c r="E131" s="315" t="str">
        <f>VLOOKUP($A131,Questions!$A$3:$L$333,12,0)&amp;""</f>
        <v>Product</v>
      </c>
      <c r="F131" s="315" t="str">
        <f>VLOOKUP($A131,'Institution Evaluation'!$A$56:$K$345,3,0)&amp;""</f>
        <v>N/A</v>
      </c>
      <c r="G131" s="315" t="str">
        <f>VLOOKUP($A131,'Institution Evaluation'!$A$56:$K$345,7,0)&amp;""</f>
        <v>Yes</v>
      </c>
      <c r="H131" s="315" t="str">
        <f>VLOOKUP($A131,'Institution Evaluation'!$A$56:$K$345,8,0)&amp;""</f>
        <v/>
      </c>
      <c r="I131" s="315" t="str">
        <f>VLOOKUP($A131,'Institution Evaluation'!$A$56:$K$345,9,0)&amp;""</f>
        <v>Minor Importance</v>
      </c>
      <c r="J131" s="315" t="str">
        <f>VLOOKUP($A131,'Institution Evaluation'!$A$56:$K$345,10,0)&amp;""</f>
        <v/>
      </c>
      <c r="K131" s="315">
        <f>IF($I131='Auto Responses'!$J$11,20,IF($I131='Auto Responses'!$J$13,5,10))</f>
        <v>5</v>
      </c>
      <c r="L131" s="284">
        <f>IF($E131='Auto Responses'!$L$13, 'Auto Responses'!$J$5,IF(AND($D131='Auto Responses'!$J$27,$H131=""),'Auto Responses'!$J$5,IF(AND($D131='Auto Responses'!$J$27,$H131='Auto Responses'!$J$7),1,IF(AND($D131='Auto Responses'!$J$27,$H131='Auto Responses'!$J$8),0,IF(OR(AND($F131=$G131,$H131=""),$H131='Auto Responses'!$J$7),1,0)))))</f>
        <v>0</v>
      </c>
      <c r="M131" s="315" t="str">
        <f>VLOOKUP($A131,'Institution Evaluation'!$A$56:$K$345,11,0)&amp;""</f>
        <v>FALSCH</v>
      </c>
      <c r="N131" s="315">
        <f>IF($J131='Auto Responses'!$J$11,1,IF(AND($J131="",$I131='Auto Responses'!$J$11),1,0))</f>
        <v>0</v>
      </c>
      <c r="O131" s="284" t="str">
        <f>IF(OR($F$17='Auto Responses'!$J$4,$E131='Auto Responses'!$L$13,$F131='Auto Responses'!$J$5),'Auto Responses'!$J$5,IF($J131="",$K131,IF($J131='Auto Responses'!$J$13,5,IF($J131='Auto Responses'!$J$12,10,IF($J131='Auto Responses'!$J$11,20,0)))))</f>
        <v>N/A</v>
      </c>
      <c r="P131" s="284" t="str">
        <f>IF(OR($O131='Auto Responses'!$J$5,$L131='Auto Responses'!$J$5),'Auto Responses'!$J$5,$O131*$L131)</f>
        <v>N/A</v>
      </c>
      <c r="Q131" s="284">
        <f t="shared" ref="Q131:Q194" si="15">IF(M131="TRUE",1,0)</f>
        <v>0</v>
      </c>
      <c r="R131" s="284">
        <f t="shared" si="12"/>
        <v>0</v>
      </c>
      <c r="S131" s="284">
        <f t="shared" ref="S131:S194" si="16">IF(Q131=0,0,R131)</f>
        <v>0</v>
      </c>
      <c r="T131" s="284">
        <f t="shared" ref="T131:T194" si="17">IF(N131=1,1,0)</f>
        <v>0</v>
      </c>
      <c r="U131" s="284">
        <f t="shared" si="13"/>
        <v>42</v>
      </c>
      <c r="V131" s="284">
        <f t="shared" ref="V131:V194" si="18">IF(T131=0,0,U131)</f>
        <v>0</v>
      </c>
    </row>
    <row r="132" spans="1:22" ht="55.5" customHeight="1" x14ac:dyDescent="0.2">
      <c r="A132" s="315" t="str">
        <f>Questions!$A133</f>
        <v>DATA-22</v>
      </c>
      <c r="B132" s="315" t="str">
        <f t="shared" si="14"/>
        <v>DATA</v>
      </c>
      <c r="C132" s="315" t="str">
        <f>VLOOKUP($A132,Questions!$A$3:$L$333,2,0)&amp;""</f>
        <v>Are involatile backup copies made according to predefined schedules and securely stored and protected?</v>
      </c>
      <c r="D132" s="315" t="str">
        <f>VLOOKUP($A132,Questions!$A$3:$L$333,11,0)&amp;""</f>
        <v/>
      </c>
      <c r="E132" s="315" t="str">
        <f>VLOOKUP($A132,Questions!$A$3:$L$333,12,0)&amp;""</f>
        <v>Product</v>
      </c>
      <c r="F132" s="315" t="str">
        <f>VLOOKUP($A132,'Institution Evaluation'!$A$56:$K$345,3,0)&amp;""</f>
        <v>N/A</v>
      </c>
      <c r="G132" s="315" t="str">
        <f>VLOOKUP($A132,'Institution Evaluation'!$A$56:$K$345,7,0)&amp;""</f>
        <v>Yes</v>
      </c>
      <c r="H132" s="315" t="str">
        <f>VLOOKUP($A132,'Institution Evaluation'!$A$56:$K$345,8,0)&amp;""</f>
        <v/>
      </c>
      <c r="I132" s="315" t="str">
        <f>VLOOKUP($A132,'Institution Evaluation'!$A$56:$K$345,9,0)&amp;""</f>
        <v>Minor Importance</v>
      </c>
      <c r="J132" s="315" t="str">
        <f>VLOOKUP($A132,'Institution Evaluation'!$A$56:$K$345,10,0)&amp;""</f>
        <v/>
      </c>
      <c r="K132" s="315">
        <f>IF($I132='Auto Responses'!$J$11,20,IF($I132='Auto Responses'!$J$13,5,10))</f>
        <v>5</v>
      </c>
      <c r="L132" s="284">
        <f>IF($E132='Auto Responses'!$L$13, 'Auto Responses'!$J$5,IF(AND($D132='Auto Responses'!$J$27,$H132=""),'Auto Responses'!$J$5,IF(AND($D132='Auto Responses'!$J$27,$H132='Auto Responses'!$J$7),1,IF(AND($D132='Auto Responses'!$J$27,$H132='Auto Responses'!$J$8),0,IF(OR(AND($F132=$G132,$H132=""),$H132='Auto Responses'!$J$7),1,0)))))</f>
        <v>0</v>
      </c>
      <c r="M132" s="315" t="str">
        <f>VLOOKUP($A132,'Institution Evaluation'!$A$56:$K$345,11,0)&amp;""</f>
        <v>FALSCH</v>
      </c>
      <c r="N132" s="315">
        <f>IF($J132='Auto Responses'!$J$11,1,IF(AND($J132="",$I132='Auto Responses'!$J$11),1,0))</f>
        <v>0</v>
      </c>
      <c r="O132" s="284" t="str">
        <f>IF(OR($F$17='Auto Responses'!$J$4,$E132='Auto Responses'!$L$13,$F132='Auto Responses'!$J$5),'Auto Responses'!$J$5,IF($J132="",$K132,IF($J132='Auto Responses'!$J$13,5,IF($J132='Auto Responses'!$J$12,10,IF($J132='Auto Responses'!$J$11,20,0)))))</f>
        <v>N/A</v>
      </c>
      <c r="P132" s="284" t="str">
        <f>IF(OR($O132='Auto Responses'!$J$5,$L132='Auto Responses'!$J$5),'Auto Responses'!$J$5,$O132*$L132)</f>
        <v>N/A</v>
      </c>
      <c r="Q132" s="284">
        <f t="shared" si="15"/>
        <v>0</v>
      </c>
      <c r="R132" s="284">
        <f t="shared" ref="R132:R195" si="19">R131+Q132</f>
        <v>0</v>
      </c>
      <c r="S132" s="284">
        <f t="shared" si="16"/>
        <v>0</v>
      </c>
      <c r="T132" s="284">
        <f t="shared" si="17"/>
        <v>0</v>
      </c>
      <c r="U132" s="284">
        <f t="shared" ref="U132:U195" si="20">U131+T132</f>
        <v>42</v>
      </c>
      <c r="V132" s="284">
        <f t="shared" si="18"/>
        <v>0</v>
      </c>
    </row>
    <row r="133" spans="1:22" ht="55.5" customHeight="1" x14ac:dyDescent="0.2">
      <c r="A133" s="315" t="str">
        <f>Questions!$A125</f>
        <v>DATA-14</v>
      </c>
      <c r="B133" s="315" t="str">
        <f t="shared" si="14"/>
        <v>DATA</v>
      </c>
      <c r="C133" s="315" t="str">
        <f>VLOOKUP($A133,Questions!$A$3:$L$333,2,0)&amp;""</f>
        <v>Are data backups encrypted?</v>
      </c>
      <c r="D133" s="315" t="str">
        <f>VLOOKUP($A133,Questions!$A$3:$L$333,11,0)&amp;""</f>
        <v/>
      </c>
      <c r="E133" s="315" t="str">
        <f>VLOOKUP($A133,Questions!$A$3:$L$333,12,0)&amp;""</f>
        <v>Product</v>
      </c>
      <c r="F133" s="315" t="str">
        <f>VLOOKUP($A133,'Institution Evaluation'!$A$56:$K$345,3,0)&amp;""</f>
        <v>N/A</v>
      </c>
      <c r="G133" s="315" t="str">
        <f>VLOOKUP($A133,'Institution Evaluation'!$A$56:$K$345,7,0)&amp;""</f>
        <v>Yes</v>
      </c>
      <c r="H133" s="315" t="str">
        <f>VLOOKUP($A133,'Institution Evaluation'!$A$56:$K$345,8,0)&amp;""</f>
        <v/>
      </c>
      <c r="I133" s="315" t="str">
        <f>VLOOKUP($A133,'Institution Evaluation'!$A$56:$K$345,9,0)&amp;""</f>
        <v>Minor Importance</v>
      </c>
      <c r="J133" s="315" t="str">
        <f>VLOOKUP($A133,'Institution Evaluation'!$A$56:$K$345,10,0)&amp;""</f>
        <v/>
      </c>
      <c r="K133" s="315">
        <f>IF($I133='Auto Responses'!$J$11,20,IF($I133='Auto Responses'!$J$13,5,10))</f>
        <v>5</v>
      </c>
      <c r="L133" s="284">
        <f>IF($E133='Auto Responses'!$L$13, 'Auto Responses'!$J$5,IF(AND($D133='Auto Responses'!$J$27,$H133=""),'Auto Responses'!$J$5,IF(AND($D133='Auto Responses'!$J$27,$H133='Auto Responses'!$J$7),1,IF(AND($D133='Auto Responses'!$J$27,$H133='Auto Responses'!$J$8),0,IF(OR(AND($F133=$G133,$H133=""),$H133='Auto Responses'!$J$7),1,0)))))</f>
        <v>0</v>
      </c>
      <c r="M133" s="315" t="str">
        <f>VLOOKUP($A133,'Institution Evaluation'!$A$56:$K$345,11,0)&amp;""</f>
        <v>FALSCH</v>
      </c>
      <c r="N133" s="315">
        <f>IF($J133='Auto Responses'!$J$11,1,IF(AND($J133="",$I133='Auto Responses'!$J$11),1,0))</f>
        <v>0</v>
      </c>
      <c r="O133" s="284" t="str">
        <f>IF(OR($F$17='Auto Responses'!$J$4,$E133='Auto Responses'!$L$13,$F133='Auto Responses'!$J$5),'Auto Responses'!$J$5,IF($J133="",$K133,IF($J133='Auto Responses'!$J$13,5,IF($J133='Auto Responses'!$J$12,10,IF($J133='Auto Responses'!$J$11,20,0)))))</f>
        <v>N/A</v>
      </c>
      <c r="P133" s="284" t="str">
        <f>IF(OR($O133='Auto Responses'!$J$5,$L133='Auto Responses'!$J$5),'Auto Responses'!$J$5,$O133*$L133)</f>
        <v>N/A</v>
      </c>
      <c r="Q133" s="284">
        <f t="shared" si="15"/>
        <v>0</v>
      </c>
      <c r="R133" s="284">
        <f t="shared" si="19"/>
        <v>0</v>
      </c>
      <c r="S133" s="284">
        <f t="shared" si="16"/>
        <v>0</v>
      </c>
      <c r="T133" s="284">
        <f t="shared" si="17"/>
        <v>0</v>
      </c>
      <c r="U133" s="284">
        <f t="shared" si="20"/>
        <v>42</v>
      </c>
      <c r="V133" s="284">
        <f t="shared" si="18"/>
        <v>0</v>
      </c>
    </row>
    <row r="134" spans="1:22" ht="69.75" customHeight="1" x14ac:dyDescent="0.2">
      <c r="A134" s="315" t="str">
        <f>Questions!$A134</f>
        <v>DATA-23</v>
      </c>
      <c r="B134" s="315" t="str">
        <f t="shared" si="14"/>
        <v>DATA</v>
      </c>
      <c r="C134" s="315" t="str">
        <f>VLOOKUP($A134,Questions!$A$3:$L$333,2,0)&amp;""</f>
        <v>Do you have a cryptographic key management process (generation, exchange, storage, safeguards, use, vetting, and replacement) that is documented and currently implemented, for all system components (e.g., database, system, web, etc.)?</v>
      </c>
      <c r="D134" s="315" t="str">
        <f>VLOOKUP($A134,Questions!$A$3:$L$333,11,0)&amp;""</f>
        <v/>
      </c>
      <c r="E134" s="315" t="str">
        <f>VLOOKUP($A134,Questions!$A$3:$L$333,12,0)&amp;""</f>
        <v>Product</v>
      </c>
      <c r="F134" s="315" t="str">
        <f>VLOOKUP($A134,'Institution Evaluation'!$A$56:$K$345,3,0)&amp;""</f>
        <v>N/A</v>
      </c>
      <c r="G134" s="315" t="str">
        <f>VLOOKUP($A134,'Institution Evaluation'!$A$56:$K$345,7,0)&amp;""</f>
        <v>Yes</v>
      </c>
      <c r="H134" s="315" t="str">
        <f>VLOOKUP($A134,'Institution Evaluation'!$A$56:$K$345,8,0)&amp;""</f>
        <v/>
      </c>
      <c r="I134" s="315" t="str">
        <f>VLOOKUP($A134,'Institution Evaluation'!$A$56:$K$345,9,0)&amp;""</f>
        <v>Minor Importance</v>
      </c>
      <c r="J134" s="315" t="str">
        <f>VLOOKUP($A134,'Institution Evaluation'!$A$56:$K$345,10,0)&amp;""</f>
        <v/>
      </c>
      <c r="K134" s="315">
        <f>IF($I134='Auto Responses'!$J$11,20,IF($I134='Auto Responses'!$J$13,5,10))</f>
        <v>5</v>
      </c>
      <c r="L134" s="284">
        <f>IF($E134='Auto Responses'!$L$13, 'Auto Responses'!$J$5,IF(AND($D134='Auto Responses'!$J$27,$H134=""),'Auto Responses'!$J$5,IF(AND($D134='Auto Responses'!$J$27,$H134='Auto Responses'!$J$7),1,IF(AND($D134='Auto Responses'!$J$27,$H134='Auto Responses'!$J$8),0,IF(OR(AND($F134=$G134,$H134=""),$H134='Auto Responses'!$J$7),1,0)))))</f>
        <v>0</v>
      </c>
      <c r="M134" s="315" t="str">
        <f>VLOOKUP($A134,'Institution Evaluation'!$A$56:$K$345,11,0)&amp;""</f>
        <v>FALSCH</v>
      </c>
      <c r="N134" s="315">
        <f>IF($J134='Auto Responses'!$J$11,1,IF(AND($J134="",$I134='Auto Responses'!$J$11),1,0))</f>
        <v>0</v>
      </c>
      <c r="O134" s="284" t="str">
        <f>IF(OR($F$17='Auto Responses'!$J$4,$E134='Auto Responses'!$L$13,$F134='Auto Responses'!$J$5),'Auto Responses'!$J$5,IF($J134="",$K134,IF($J134='Auto Responses'!$J$13,5,IF($J134='Auto Responses'!$J$12,10,IF($J134='Auto Responses'!$J$11,20,0)))))</f>
        <v>N/A</v>
      </c>
      <c r="P134" s="284" t="str">
        <f>IF(OR($O134='Auto Responses'!$J$5,$L134='Auto Responses'!$J$5),'Auto Responses'!$J$5,$O134*$L134)</f>
        <v>N/A</v>
      </c>
      <c r="Q134" s="284">
        <f t="shared" si="15"/>
        <v>0</v>
      </c>
      <c r="R134" s="284">
        <f t="shared" si="19"/>
        <v>0</v>
      </c>
      <c r="S134" s="284">
        <f t="shared" si="16"/>
        <v>0</v>
      </c>
      <c r="T134" s="284">
        <f t="shared" si="17"/>
        <v>0</v>
      </c>
      <c r="U134" s="284">
        <f t="shared" si="20"/>
        <v>42</v>
      </c>
      <c r="V134" s="284">
        <f t="shared" si="18"/>
        <v>0</v>
      </c>
    </row>
    <row r="135" spans="1:22" ht="55.5" customHeight="1" x14ac:dyDescent="0.2">
      <c r="A135" s="315" t="str">
        <f>Questions!$A135</f>
        <v>DCTR-01</v>
      </c>
      <c r="B135" s="315" t="str">
        <f t="shared" si="14"/>
        <v>DCTR</v>
      </c>
      <c r="C135" s="315" t="str">
        <f>VLOOKUP($A135,Questions!$A$3:$L$333,2,0)&amp;""</f>
        <v>Select your hosting option.</v>
      </c>
      <c r="D135" s="315" t="str">
        <f>VLOOKUP($A135,Questions!$A$3:$L$333,11,0)&amp;""</f>
        <v/>
      </c>
      <c r="E135" s="315" t="str">
        <f>VLOOKUP($A135,Questions!$A$3:$L$333,12,0)&amp;""</f>
        <v>Not scored</v>
      </c>
      <c r="F135" s="315" t="str">
        <f>VLOOKUP($A135,'Institution Evaluation'!$A$56:$K$345,3,0)&amp;""</f>
        <v>N/A</v>
      </c>
      <c r="G135" s="315" t="str">
        <f>VLOOKUP($A135,'Institution Evaluation'!$A$56:$K$345,7,0)&amp;""</f>
        <v>Not scored</v>
      </c>
      <c r="H135" s="315" t="str">
        <f>VLOOKUP($A135,'Institution Evaluation'!$A$56:$K$345,8,0)&amp;""</f>
        <v/>
      </c>
      <c r="I135" s="315" t="str">
        <f>VLOOKUP($A135,'Institution Evaluation'!$A$56:$K$345,9,0)&amp;""</f>
        <v/>
      </c>
      <c r="J135" s="315" t="str">
        <f>VLOOKUP($A135,'Institution Evaluation'!$A$56:$K$345,10,0)&amp;""</f>
        <v/>
      </c>
      <c r="K135" s="315">
        <f>IF($I135='Auto Responses'!$J$11,20,IF($I135='Auto Responses'!$J$13,5,10))</f>
        <v>10</v>
      </c>
      <c r="L135" s="284" t="str">
        <f>IF(OR($E135='Auto Responses'!$L$13,$F135=""),'Auto Responses'!$J$5,IF(AND($D135='Auto Responses'!$J$27,$H135=""),'Auto Responses'!$J$5,IF(AND($D135='Auto Responses'!$J$27,$H135='Auto Responses'!$J$7),1,IF(AND($D135='Auto Responses'!$J$27,$H135='Auto Responses'!$J$8),0,IF(OR(AND($F135=$G135,$H135=""),$H135='Auto Responses'!$J$7),1,0)))))</f>
        <v>N/A</v>
      </c>
      <c r="M135" s="315" t="str">
        <f>VLOOKUP($A135,'Institution Evaluation'!$A$56:$K$345,11,0)&amp;""</f>
        <v>FALSCH</v>
      </c>
      <c r="N135" s="315">
        <f>IF($J135='Auto Responses'!$J$11,1,IF(AND($J135="",$I135='Auto Responses'!$J$11),1,0))</f>
        <v>0</v>
      </c>
      <c r="O135" s="284" t="str">
        <f>IF(OR($F$17='Auto Responses'!$J$4,$E135='Auto Responses'!$L$13,$F135="",$F135='Auto Responses'!$J$5),'Auto Responses'!$J$5,IF($J135="",$K135,IF($J135='Auto Responses'!$J$13,5,IF($J135='Auto Responses'!$J$12,10,IF($J135='Auto Responses'!$J$11,20,0)))))</f>
        <v>N/A</v>
      </c>
      <c r="P135" s="284" t="str">
        <f>IF(OR($O135='Auto Responses'!$J$5,$L135='Auto Responses'!$J$5),'Auto Responses'!$J$5,$O135*$L135)</f>
        <v>N/A</v>
      </c>
      <c r="Q135" s="284">
        <f t="shared" si="15"/>
        <v>0</v>
      </c>
      <c r="R135" s="284">
        <f t="shared" si="19"/>
        <v>0</v>
      </c>
      <c r="S135" s="284">
        <f t="shared" si="16"/>
        <v>0</v>
      </c>
      <c r="T135" s="284">
        <f t="shared" si="17"/>
        <v>0</v>
      </c>
      <c r="U135" s="284">
        <f t="shared" si="20"/>
        <v>42</v>
      </c>
      <c r="V135" s="284">
        <f t="shared" si="18"/>
        <v>0</v>
      </c>
    </row>
    <row r="136" spans="1:22" ht="55.5" customHeight="1" x14ac:dyDescent="0.2">
      <c r="A136" s="315" t="str">
        <f>Questions!$A136</f>
        <v>DCTR-02</v>
      </c>
      <c r="B136" s="315" t="str">
        <f t="shared" si="14"/>
        <v>DCTR</v>
      </c>
      <c r="C136" s="315" t="str">
        <f>VLOOKUP($A136,Questions!$A$3:$L$333,2,0)&amp;""</f>
        <v>Is a SOC 2 Type 2 report available for the hosting environment?</v>
      </c>
      <c r="D136" s="315" t="str">
        <f>VLOOKUP($A136,Questions!$A$3:$L$333,11,0)&amp;""</f>
        <v/>
      </c>
      <c r="E136" s="315" t="str">
        <f>VLOOKUP($A136,Questions!$A$3:$L$333,12,0)&amp;""</f>
        <v>Infrastructure</v>
      </c>
      <c r="F136" s="315" t="str">
        <f>VLOOKUP($A136,'Institution Evaluation'!$A$56:$K$345,3,0)&amp;""</f>
        <v>N/A</v>
      </c>
      <c r="G136" s="315" t="str">
        <f>VLOOKUP($A136,'Institution Evaluation'!$A$56:$K$345,7,0)&amp;""</f>
        <v>Yes</v>
      </c>
      <c r="H136" s="315" t="str">
        <f>VLOOKUP($A136,'Institution Evaluation'!$A$56:$K$345,8,0)&amp;""</f>
        <v/>
      </c>
      <c r="I136" s="315" t="str">
        <f>VLOOKUP($A136,'Institution Evaluation'!$A$56:$K$345,9,0)&amp;""</f>
        <v>Standard Importance</v>
      </c>
      <c r="J136" s="315" t="str">
        <f>VLOOKUP($A136,'Institution Evaluation'!$A$56:$K$345,10,0)&amp;""</f>
        <v/>
      </c>
      <c r="K136" s="315">
        <f>IF($I136='Auto Responses'!$J$11,20,IF($I136='Auto Responses'!$J$13,5,10))</f>
        <v>10</v>
      </c>
      <c r="L136" s="284">
        <f>IF(OR($E136='Auto Responses'!$L$13,$F136=""),'Auto Responses'!$J$5,IF(AND($D136='Auto Responses'!$J$27,$H136=""),'Auto Responses'!$J$5,IF(AND($D136='Auto Responses'!$J$27,$H136='Auto Responses'!$J$7),1,IF(AND($D136='Auto Responses'!$J$27,$H136='Auto Responses'!$J$8),0,IF(OR(AND($F136=$G136,$H136=""),$H136='Auto Responses'!$J$7),1,0)))))</f>
        <v>0</v>
      </c>
      <c r="M136" s="315" t="str">
        <f>VLOOKUP($A136,'Institution Evaluation'!$A$56:$K$345,11,0)&amp;""</f>
        <v>FALSCH</v>
      </c>
      <c r="N136" s="315">
        <f>IF($J136='Auto Responses'!$J$11,1,IF(AND($J136="",$I136='Auto Responses'!$J$11),1,0))</f>
        <v>0</v>
      </c>
      <c r="O136" s="284" t="str">
        <f>IF(OR($F$17='Auto Responses'!$J$4,$E136='Auto Responses'!$L$13,$F136="",$F136='Auto Responses'!$J$5),'Auto Responses'!$J$5,IF($J136="",$K136,IF($J136='Auto Responses'!$J$13,5,IF($J136='Auto Responses'!$J$12,10,IF($J136='Auto Responses'!$J$11,20,0)))))</f>
        <v>N/A</v>
      </c>
      <c r="P136" s="284" t="str">
        <f>IF(OR($O136='Auto Responses'!$J$5,$L136='Auto Responses'!$J$5),'Auto Responses'!$J$5,$O136*$L136)</f>
        <v>N/A</v>
      </c>
      <c r="Q136" s="284">
        <f t="shared" si="15"/>
        <v>0</v>
      </c>
      <c r="R136" s="284">
        <f t="shared" si="19"/>
        <v>0</v>
      </c>
      <c r="S136" s="284">
        <f t="shared" si="16"/>
        <v>0</v>
      </c>
      <c r="T136" s="284">
        <f t="shared" si="17"/>
        <v>0</v>
      </c>
      <c r="U136" s="284">
        <f t="shared" si="20"/>
        <v>42</v>
      </c>
      <c r="V136" s="284">
        <f t="shared" si="18"/>
        <v>0</v>
      </c>
    </row>
    <row r="137" spans="1:22" ht="55.5" customHeight="1" x14ac:dyDescent="0.2">
      <c r="A137" s="315" t="str">
        <f>Questions!$A137</f>
        <v>DCTR-03</v>
      </c>
      <c r="B137" s="315" t="str">
        <f t="shared" si="14"/>
        <v>DCTR</v>
      </c>
      <c r="C137" s="315" t="str">
        <f>VLOOKUP($A137,Questions!$A$3:$L$333,2,0)&amp;""</f>
        <v>Are you generally able to accommodate storing each institution's data within its geographic region?</v>
      </c>
      <c r="D137" s="315" t="str">
        <f>VLOOKUP($A137,Questions!$A$3:$L$333,11,0)&amp;""</f>
        <v/>
      </c>
      <c r="E137" s="315" t="str">
        <f>VLOOKUP($A137,Questions!$A$3:$L$333,12,0)&amp;""</f>
        <v>Infrastructure</v>
      </c>
      <c r="F137" s="315" t="str">
        <f>VLOOKUP($A137,'Institution Evaluation'!$A$56:$K$345,3,0)&amp;""</f>
        <v>N/A</v>
      </c>
      <c r="G137" s="315" t="str">
        <f>VLOOKUP($A137,'Institution Evaluation'!$A$56:$K$345,7,0)&amp;""</f>
        <v>Yes</v>
      </c>
      <c r="H137" s="315" t="str">
        <f>VLOOKUP($A137,'Institution Evaluation'!$A$56:$K$345,8,0)&amp;""</f>
        <v/>
      </c>
      <c r="I137" s="315" t="str">
        <f>VLOOKUP($A137,'Institution Evaluation'!$A$56:$K$345,9,0)&amp;""</f>
        <v>Standard Importance</v>
      </c>
      <c r="J137" s="315" t="str">
        <f>VLOOKUP($A137,'Institution Evaluation'!$A$56:$K$345,10,0)&amp;""</f>
        <v/>
      </c>
      <c r="K137" s="315">
        <f>IF($I137='Auto Responses'!$J$11,20,IF($I137='Auto Responses'!$J$13,5,10))</f>
        <v>10</v>
      </c>
      <c r="L137" s="284">
        <f>IF(OR($E137='Auto Responses'!$L$13,$F137=""),'Auto Responses'!$J$5,IF(AND($D137='Auto Responses'!$J$27,$H137=""),'Auto Responses'!$J$5,IF(AND($D137='Auto Responses'!$J$27,$H137='Auto Responses'!$J$7),1,IF(AND($D137='Auto Responses'!$J$27,$H137='Auto Responses'!$J$8),0,IF(OR(AND($F137=$G137,$H137=""),$H137='Auto Responses'!$J$7),1,0)))))</f>
        <v>0</v>
      </c>
      <c r="M137" s="315" t="str">
        <f>VLOOKUP($A137,'Institution Evaluation'!$A$56:$K$345,11,0)&amp;""</f>
        <v>FALSCH</v>
      </c>
      <c r="N137" s="315">
        <f>IF($J137='Auto Responses'!$J$11,1,IF(AND($J137="",$I137='Auto Responses'!$J$11),1,0))</f>
        <v>0</v>
      </c>
      <c r="O137" s="284" t="str">
        <f>IF(OR($F$17='Auto Responses'!$J$4,$E137='Auto Responses'!$L$13,$F137="",$F137='Auto Responses'!$J$5),'Auto Responses'!$J$5,IF($J137="",$K137,IF($J137='Auto Responses'!$J$13,5,IF($J137='Auto Responses'!$J$12,10,IF($J137='Auto Responses'!$J$11,20,0)))))</f>
        <v>N/A</v>
      </c>
      <c r="P137" s="284" t="str">
        <f>IF(OR($O137='Auto Responses'!$J$5,$L137='Auto Responses'!$J$5),'Auto Responses'!$J$5,$O137*$L137)</f>
        <v>N/A</v>
      </c>
      <c r="Q137" s="284">
        <f t="shared" si="15"/>
        <v>0</v>
      </c>
      <c r="R137" s="284">
        <f t="shared" si="19"/>
        <v>0</v>
      </c>
      <c r="S137" s="284">
        <f t="shared" si="16"/>
        <v>0</v>
      </c>
      <c r="T137" s="284">
        <f t="shared" si="17"/>
        <v>0</v>
      </c>
      <c r="U137" s="284">
        <f t="shared" si="20"/>
        <v>42</v>
      </c>
      <c r="V137" s="284">
        <f t="shared" si="18"/>
        <v>0</v>
      </c>
    </row>
    <row r="138" spans="1:22" ht="55.5" customHeight="1" x14ac:dyDescent="0.2">
      <c r="A138" s="315" t="str">
        <f>Questions!$A138</f>
        <v>DCTR-04</v>
      </c>
      <c r="B138" s="315" t="str">
        <f t="shared" si="14"/>
        <v>DCTR</v>
      </c>
      <c r="C138" s="315" t="str">
        <f>VLOOKUP($A138,Questions!$A$3:$L$333,2,0)&amp;""</f>
        <v>Are the data centers staffed 24 hours a day, seven days a week (i.e., 24 x 7 x 365)?</v>
      </c>
      <c r="D138" s="315" t="str">
        <f>VLOOKUP($A138,Questions!$A$3:$L$333,11,0)&amp;""</f>
        <v/>
      </c>
      <c r="E138" s="315" t="str">
        <f>VLOOKUP($A138,Questions!$A$3:$L$333,12,0)&amp;""</f>
        <v>Infrastructure</v>
      </c>
      <c r="F138" s="315" t="str">
        <f>VLOOKUP($A138,'Institution Evaluation'!$A$56:$K$345,3,0)&amp;""</f>
        <v>N/A</v>
      </c>
      <c r="G138" s="315" t="str">
        <f>VLOOKUP($A138,'Institution Evaluation'!$A$56:$K$345,7,0)&amp;""</f>
        <v>Yes</v>
      </c>
      <c r="H138" s="315" t="str">
        <f>VLOOKUP($A138,'Institution Evaluation'!$A$56:$K$345,8,0)&amp;""</f>
        <v/>
      </c>
      <c r="I138" s="315" t="str">
        <f>VLOOKUP($A138,'Institution Evaluation'!$A$56:$K$345,9,0)&amp;""</f>
        <v>Standard Importance</v>
      </c>
      <c r="J138" s="315" t="str">
        <f>VLOOKUP($A138,'Institution Evaluation'!$A$56:$K$345,10,0)&amp;""</f>
        <v/>
      </c>
      <c r="K138" s="315">
        <f>IF($I138='Auto Responses'!$J$11,20,IF($I138='Auto Responses'!$J$13,5,10))</f>
        <v>10</v>
      </c>
      <c r="L138" s="284">
        <f>IF(OR($E138='Auto Responses'!$L$13,$F138=""),'Auto Responses'!$J$5,IF(AND($D138='Auto Responses'!$J$27,$H138=""),'Auto Responses'!$J$5,IF(AND($D138='Auto Responses'!$J$27,$H138='Auto Responses'!$J$7),1,IF(AND($D138='Auto Responses'!$J$27,$H138='Auto Responses'!$J$8),0,IF(OR(AND($F138=$G138,$H138=""),$H138='Auto Responses'!$J$7),1,0)))))</f>
        <v>0</v>
      </c>
      <c r="M138" s="315" t="str">
        <f>VLOOKUP($A138,'Institution Evaluation'!$A$56:$K$345,11,0)&amp;""</f>
        <v>FALSCH</v>
      </c>
      <c r="N138" s="315">
        <f>IF($J138='Auto Responses'!$J$11,1,IF(AND($J138="",$I138='Auto Responses'!$J$11),1,0))</f>
        <v>0</v>
      </c>
      <c r="O138" s="284" t="str">
        <f>IF(OR($F$17='Auto Responses'!$J$4,$E138='Auto Responses'!$L$13,$F138="",$F138='Auto Responses'!$J$5),'Auto Responses'!$J$5,IF($J138="",$K138,IF($J138='Auto Responses'!$J$13,5,IF($J138='Auto Responses'!$J$12,10,IF($J138='Auto Responses'!$J$11,20,0)))))</f>
        <v>N/A</v>
      </c>
      <c r="P138" s="284" t="str">
        <f>IF(OR($O138='Auto Responses'!$J$5,$L138='Auto Responses'!$J$5),'Auto Responses'!$J$5,$O138*$L138)</f>
        <v>N/A</v>
      </c>
      <c r="Q138" s="284">
        <f t="shared" si="15"/>
        <v>0</v>
      </c>
      <c r="R138" s="284">
        <f t="shared" si="19"/>
        <v>0</v>
      </c>
      <c r="S138" s="284">
        <f t="shared" si="16"/>
        <v>0</v>
      </c>
      <c r="T138" s="284">
        <f t="shared" si="17"/>
        <v>0</v>
      </c>
      <c r="U138" s="284">
        <f t="shared" si="20"/>
        <v>42</v>
      </c>
      <c r="V138" s="284">
        <f t="shared" si="18"/>
        <v>0</v>
      </c>
    </row>
    <row r="139" spans="1:22" ht="55.5" customHeight="1" x14ac:dyDescent="0.2">
      <c r="A139" s="315" t="str">
        <f>Questions!$A139</f>
        <v>DCTR-05</v>
      </c>
      <c r="B139" s="315" t="str">
        <f t="shared" si="14"/>
        <v>DCTR</v>
      </c>
      <c r="C139" s="315" t="str">
        <f>VLOOKUP($A139,Questions!$A$3:$L$333,2,0)&amp;""</f>
        <v>Are your servers separated from other companies via a physical barrier, such as a cage or hard walls?</v>
      </c>
      <c r="D139" s="315" t="str">
        <f>VLOOKUP($A139,Questions!$A$3:$L$333,11,0)&amp;""</f>
        <v/>
      </c>
      <c r="E139" s="315" t="str">
        <f>VLOOKUP($A139,Questions!$A$3:$L$333,12,0)&amp;""</f>
        <v>Infrastructure</v>
      </c>
      <c r="F139" s="315" t="str">
        <f>VLOOKUP($A139,'Institution Evaluation'!$A$56:$K$345,3,0)&amp;""</f>
        <v>N/A</v>
      </c>
      <c r="G139" s="315" t="str">
        <f>VLOOKUP($A139,'Institution Evaluation'!$A$56:$K$345,7,0)&amp;""</f>
        <v>Yes</v>
      </c>
      <c r="H139" s="315" t="str">
        <f>VLOOKUP($A139,'Institution Evaluation'!$A$56:$K$345,8,0)&amp;""</f>
        <v/>
      </c>
      <c r="I139" s="315" t="str">
        <f>VLOOKUP($A139,'Institution Evaluation'!$A$56:$K$345,9,0)&amp;""</f>
        <v>Standard Importance</v>
      </c>
      <c r="J139" s="315" t="str">
        <f>VLOOKUP($A139,'Institution Evaluation'!$A$56:$K$345,10,0)&amp;""</f>
        <v/>
      </c>
      <c r="K139" s="315">
        <f>IF($I139='Auto Responses'!$J$11,20,IF($I139='Auto Responses'!$J$13,5,10))</f>
        <v>10</v>
      </c>
      <c r="L139" s="284">
        <f>IF(OR($E139='Auto Responses'!$L$13,$F139=""),'Auto Responses'!$J$5,IF(AND($D139='Auto Responses'!$J$27,$H139=""),'Auto Responses'!$J$5,IF(AND($D139='Auto Responses'!$J$27,$H139='Auto Responses'!$J$7),1,IF(AND($D139='Auto Responses'!$J$27,$H139='Auto Responses'!$J$8),0,IF(OR(AND($F139=$G139,$H139=""),$H139='Auto Responses'!$J$7),1,0)))))</f>
        <v>0</v>
      </c>
      <c r="M139" s="315" t="str">
        <f>VLOOKUP($A139,'Institution Evaluation'!$A$56:$K$345,11,0)&amp;""</f>
        <v>FALSCH</v>
      </c>
      <c r="N139" s="315">
        <f>IF($J139='Auto Responses'!$J$11,1,IF(AND($J139="",$I139='Auto Responses'!$J$11),1,0))</f>
        <v>0</v>
      </c>
      <c r="O139" s="284" t="str">
        <f>IF(OR($F$17='Auto Responses'!$J$4,$E139='Auto Responses'!$L$13,$F139="",$F139='Auto Responses'!$J$5),'Auto Responses'!$J$5,IF($J139="",$K139,IF($J139='Auto Responses'!$J$13,5,IF($J139='Auto Responses'!$J$12,10,IF($J139='Auto Responses'!$J$11,20,0)))))</f>
        <v>N/A</v>
      </c>
      <c r="P139" s="284" t="str">
        <f>IF(OR($O139='Auto Responses'!$J$5,$L139='Auto Responses'!$J$5),'Auto Responses'!$J$5,$O139*$L139)</f>
        <v>N/A</v>
      </c>
      <c r="Q139" s="284">
        <f t="shared" si="15"/>
        <v>0</v>
      </c>
      <c r="R139" s="284">
        <f t="shared" si="19"/>
        <v>0</v>
      </c>
      <c r="S139" s="284">
        <f t="shared" si="16"/>
        <v>0</v>
      </c>
      <c r="T139" s="284">
        <f t="shared" si="17"/>
        <v>0</v>
      </c>
      <c r="U139" s="284">
        <f t="shared" si="20"/>
        <v>42</v>
      </c>
      <c r="V139" s="284">
        <f t="shared" si="18"/>
        <v>0</v>
      </c>
    </row>
    <row r="140" spans="1:22" ht="55.5" customHeight="1" x14ac:dyDescent="0.2">
      <c r="A140" s="315" t="str">
        <f>Questions!$A140</f>
        <v>DCTR-06</v>
      </c>
      <c r="B140" s="315" t="str">
        <f t="shared" si="14"/>
        <v>DCTR</v>
      </c>
      <c r="C140" s="315" t="str">
        <f>VLOOKUP($A140,Questions!$A$3:$L$333,2,0)&amp;""</f>
        <v>Does a physical barrier fully enclose the physical space, preventing unauthorized physical contact with any of your devices?*</v>
      </c>
      <c r="D140" s="315" t="str">
        <f>VLOOKUP($A140,Questions!$A$3:$L$333,11,0)&amp;""</f>
        <v/>
      </c>
      <c r="E140" s="315" t="str">
        <f>VLOOKUP($A140,Questions!$A$3:$L$333,12,0)&amp;""</f>
        <v>Infrastructure</v>
      </c>
      <c r="F140" s="315" t="str">
        <f>VLOOKUP($A140,'Institution Evaluation'!$A$56:$K$345,3,0)&amp;""</f>
        <v>N/A</v>
      </c>
      <c r="G140" s="315" t="str">
        <f>VLOOKUP($A140,'Institution Evaluation'!$A$56:$K$345,7,0)&amp;""</f>
        <v>Yes</v>
      </c>
      <c r="H140" s="315" t="str">
        <f>VLOOKUP($A140,'Institution Evaluation'!$A$56:$K$345,8,0)&amp;""</f>
        <v>Mark as Compliant</v>
      </c>
      <c r="I140" s="315" t="str">
        <f>VLOOKUP($A140,'Institution Evaluation'!$A$56:$K$345,9,0)&amp;""</f>
        <v>Critical Importance</v>
      </c>
      <c r="J140" s="315" t="str">
        <f>VLOOKUP($A140,'Institution Evaluation'!$A$56:$K$345,10,0)&amp;""</f>
        <v/>
      </c>
      <c r="K140" s="315">
        <f>IF($I140='Auto Responses'!$J$11,20,IF($I140='Auto Responses'!$J$13,5,10))</f>
        <v>20</v>
      </c>
      <c r="L140" s="284">
        <f>IF(OR($E140='Auto Responses'!$L$13,$F140=""),'Auto Responses'!$J$5,IF(AND($D140='Auto Responses'!$J$27,$H140=""),'Auto Responses'!$J$5,IF(AND($D140='Auto Responses'!$J$27,$H140='Auto Responses'!$J$7),1,IF(AND($D140='Auto Responses'!$J$27,$H140='Auto Responses'!$J$8),0,IF(OR(AND($F140=$G140,$H140=""),$H140='Auto Responses'!$J$7),1,0)))))</f>
        <v>1</v>
      </c>
      <c r="M140" s="315" t="str">
        <f>VLOOKUP($A140,'Institution Evaluation'!$A$56:$K$345,11,0)&amp;""</f>
        <v>FALSCH</v>
      </c>
      <c r="N140" s="315">
        <f>IF($J140='Auto Responses'!$J$11,1,IF(AND($J140="",$I140='Auto Responses'!$J$11),1,0))</f>
        <v>1</v>
      </c>
      <c r="O140" s="284" t="str">
        <f>IF(OR($F$17='Auto Responses'!$J$4,$E140='Auto Responses'!$L$13,$F140="",$F140='Auto Responses'!$J$5),'Auto Responses'!$J$5,IF($J140="",$K140,IF($J140='Auto Responses'!$J$13,5,IF($J140='Auto Responses'!$J$12,10,IF($J140='Auto Responses'!$J$11,20,0)))))</f>
        <v>N/A</v>
      </c>
      <c r="P140" s="284" t="str">
        <f>IF(OR($O140='Auto Responses'!$J$5,$L140='Auto Responses'!$J$5),'Auto Responses'!$J$5,$O140*$L140)</f>
        <v>N/A</v>
      </c>
      <c r="Q140" s="284">
        <f t="shared" si="15"/>
        <v>0</v>
      </c>
      <c r="R140" s="284">
        <f t="shared" si="19"/>
        <v>0</v>
      </c>
      <c r="S140" s="284">
        <f t="shared" si="16"/>
        <v>0</v>
      </c>
      <c r="T140" s="284">
        <f t="shared" si="17"/>
        <v>1</v>
      </c>
      <c r="U140" s="284">
        <f t="shared" si="20"/>
        <v>43</v>
      </c>
      <c r="V140" s="284">
        <f t="shared" si="18"/>
        <v>43</v>
      </c>
    </row>
    <row r="141" spans="1:22" ht="55.5" customHeight="1" x14ac:dyDescent="0.2">
      <c r="A141" s="315" t="str">
        <f>Questions!$A141</f>
        <v>DCTR-07</v>
      </c>
      <c r="B141" s="315" t="str">
        <f t="shared" si="14"/>
        <v>DCTR</v>
      </c>
      <c r="C141" s="315" t="str">
        <f>VLOOKUP($A141,Questions!$A$3:$L$333,2,0)&amp;""</f>
        <v>Are your primary and secondary data centers geographically diverse?</v>
      </c>
      <c r="D141" s="315" t="str">
        <f>VLOOKUP($A141,Questions!$A$3:$L$333,11,0)&amp;""</f>
        <v/>
      </c>
      <c r="E141" s="315" t="str">
        <f>VLOOKUP($A141,Questions!$A$3:$L$333,12,0)&amp;""</f>
        <v>Infrastructure</v>
      </c>
      <c r="F141" s="315" t="str">
        <f>VLOOKUP($A141,'Institution Evaluation'!$A$56:$K$345,3,0)&amp;""</f>
        <v>N/A</v>
      </c>
      <c r="G141" s="315" t="str">
        <f>VLOOKUP($A141,'Institution Evaluation'!$A$56:$K$345,7,0)&amp;""</f>
        <v>Yes</v>
      </c>
      <c r="H141" s="315" t="str">
        <f>VLOOKUP($A141,'Institution Evaluation'!$A$56:$K$345,8,0)&amp;""</f>
        <v/>
      </c>
      <c r="I141" s="315" t="str">
        <f>VLOOKUP($A141,'Institution Evaluation'!$A$56:$K$345,9,0)&amp;""</f>
        <v>Standard Importance</v>
      </c>
      <c r="J141" s="315" t="str">
        <f>VLOOKUP($A141,'Institution Evaluation'!$A$56:$K$345,10,0)&amp;""</f>
        <v/>
      </c>
      <c r="K141" s="315">
        <f>IF($I141='Auto Responses'!$J$11,20,IF($I141='Auto Responses'!$J$13,5,10))</f>
        <v>10</v>
      </c>
      <c r="L141" s="284">
        <f>IF(OR($E141='Auto Responses'!$L$13,$F141=""),'Auto Responses'!$J$5,IF(AND($D141='Auto Responses'!$J$27,$H141=""),'Auto Responses'!$J$5,IF(AND($D141='Auto Responses'!$J$27,$H141='Auto Responses'!$J$7),1,IF(AND($D141='Auto Responses'!$J$27,$H141='Auto Responses'!$J$8),0,IF(OR(AND($F141=$G141,$H141=""),$H141='Auto Responses'!$J$7),1,0)))))</f>
        <v>0</v>
      </c>
      <c r="M141" s="315" t="str">
        <f>VLOOKUP($A141,'Institution Evaluation'!$A$56:$K$345,11,0)&amp;""</f>
        <v>FALSCH</v>
      </c>
      <c r="N141" s="315">
        <f>IF($J141='Auto Responses'!$J$11,1,IF(AND($J141="",$I141='Auto Responses'!$J$11),1,0))</f>
        <v>0</v>
      </c>
      <c r="O141" s="284" t="str">
        <f>IF(OR($F$17='Auto Responses'!$J$4,$E141='Auto Responses'!$L$13,$F141="",$F141='Auto Responses'!$J$5),'Auto Responses'!$J$5,IF($J141="",$K141,IF($J141='Auto Responses'!$J$13,5,IF($J141='Auto Responses'!$J$12,10,IF($J141='Auto Responses'!$J$11,20,0)))))</f>
        <v>N/A</v>
      </c>
      <c r="P141" s="284" t="str">
        <f>IF(OR($O141='Auto Responses'!$J$5,$L141='Auto Responses'!$J$5),'Auto Responses'!$J$5,$O141*$L141)</f>
        <v>N/A</v>
      </c>
      <c r="Q141" s="284">
        <f t="shared" si="15"/>
        <v>0</v>
      </c>
      <c r="R141" s="284">
        <f t="shared" si="19"/>
        <v>0</v>
      </c>
      <c r="S141" s="284">
        <f t="shared" si="16"/>
        <v>0</v>
      </c>
      <c r="T141" s="284">
        <f t="shared" si="17"/>
        <v>0</v>
      </c>
      <c r="U141" s="284">
        <f t="shared" si="20"/>
        <v>43</v>
      </c>
      <c r="V141" s="284">
        <f t="shared" si="18"/>
        <v>0</v>
      </c>
    </row>
    <row r="142" spans="1:22" ht="55.5" customHeight="1" x14ac:dyDescent="0.2">
      <c r="A142" s="315" t="str">
        <f>Questions!$A142</f>
        <v>DCTR-08</v>
      </c>
      <c r="B142" s="315" t="str">
        <f t="shared" si="14"/>
        <v>DCTR</v>
      </c>
      <c r="C142" s="315" t="str">
        <f>VLOOKUP($A142,Questions!$A$3:$L$333,2,0)&amp;""</f>
        <v>Is the service hosted in a high-availability environment?</v>
      </c>
      <c r="D142" s="315" t="str">
        <f>VLOOKUP($A142,Questions!$A$3:$L$333,11,0)&amp;""</f>
        <v/>
      </c>
      <c r="E142" s="315" t="str">
        <f>VLOOKUP($A142,Questions!$A$3:$L$333,12,0)&amp;""</f>
        <v>Infrastructure</v>
      </c>
      <c r="F142" s="315" t="str">
        <f>VLOOKUP($A142,'Institution Evaluation'!$A$56:$K$345,3,0)&amp;""</f>
        <v>N/A</v>
      </c>
      <c r="G142" s="315" t="str">
        <f>VLOOKUP($A142,'Institution Evaluation'!$A$56:$K$345,7,0)&amp;""</f>
        <v>Yes</v>
      </c>
      <c r="H142" s="315" t="str">
        <f>VLOOKUP($A142,'Institution Evaluation'!$A$56:$K$345,8,0)&amp;""</f>
        <v/>
      </c>
      <c r="I142" s="315" t="str">
        <f>VLOOKUP($A142,'Institution Evaluation'!$A$56:$K$345,9,0)&amp;""</f>
        <v>Standard Importance</v>
      </c>
      <c r="J142" s="315" t="str">
        <f>VLOOKUP($A142,'Institution Evaluation'!$A$56:$K$345,10,0)&amp;""</f>
        <v/>
      </c>
      <c r="K142" s="315">
        <f>IF($I142='Auto Responses'!$J$11,20,IF($I142='Auto Responses'!$J$13,5,10))</f>
        <v>10</v>
      </c>
      <c r="L142" s="284">
        <f>IF(OR($E142='Auto Responses'!$L$13,$F142=""),'Auto Responses'!$J$5,IF(AND($D142='Auto Responses'!$J$27,$H142=""),'Auto Responses'!$J$5,IF(AND($D142='Auto Responses'!$J$27,$H142='Auto Responses'!$J$7),1,IF(AND($D142='Auto Responses'!$J$27,$H142='Auto Responses'!$J$8),0,IF(OR(AND($F142=$G142,$H142=""),$H142='Auto Responses'!$J$7),1,0)))))</f>
        <v>0</v>
      </c>
      <c r="M142" s="315" t="str">
        <f>VLOOKUP($A142,'Institution Evaluation'!$A$56:$K$345,11,0)&amp;""</f>
        <v>FALSCH</v>
      </c>
      <c r="N142" s="315">
        <f>IF($J142='Auto Responses'!$J$11,1,IF(AND($J142="",$I142='Auto Responses'!$J$11),1,0))</f>
        <v>0</v>
      </c>
      <c r="O142" s="284" t="str">
        <f>IF(OR($F$17='Auto Responses'!$J$4,$E142='Auto Responses'!$L$13,$F142="",$F142='Auto Responses'!$J$5),'Auto Responses'!$J$5,IF($J142="",$K142,IF($J142='Auto Responses'!$J$13,5,IF($J142='Auto Responses'!$J$12,10,IF($J142='Auto Responses'!$J$11,20,0)))))</f>
        <v>N/A</v>
      </c>
      <c r="P142" s="284" t="str">
        <f>IF(OR($O142='Auto Responses'!$J$5,$L142='Auto Responses'!$J$5),'Auto Responses'!$J$5,$O142*$L142)</f>
        <v>N/A</v>
      </c>
      <c r="Q142" s="284">
        <f t="shared" si="15"/>
        <v>0</v>
      </c>
      <c r="R142" s="284">
        <f t="shared" si="19"/>
        <v>0</v>
      </c>
      <c r="S142" s="284">
        <f t="shared" si="16"/>
        <v>0</v>
      </c>
      <c r="T142" s="284">
        <f t="shared" si="17"/>
        <v>0</v>
      </c>
      <c r="U142" s="284">
        <f t="shared" si="20"/>
        <v>43</v>
      </c>
      <c r="V142" s="284">
        <f t="shared" si="18"/>
        <v>0</v>
      </c>
    </row>
    <row r="143" spans="1:22" ht="55.5" customHeight="1" x14ac:dyDescent="0.2">
      <c r="A143" s="315" t="str">
        <f>Questions!$A143</f>
        <v>DCTR-09</v>
      </c>
      <c r="B143" s="315" t="str">
        <f t="shared" si="14"/>
        <v>DCTR</v>
      </c>
      <c r="C143" s="315" t="str">
        <f>VLOOKUP($A143,Questions!$A$3:$L$333,2,0)&amp;""</f>
        <v>Is redundant power available for all data centers where institutional data will reside?</v>
      </c>
      <c r="D143" s="315" t="str">
        <f>VLOOKUP($A143,Questions!$A$3:$L$333,11,0)&amp;""</f>
        <v/>
      </c>
      <c r="E143" s="315" t="str">
        <f>VLOOKUP($A143,Questions!$A$3:$L$333,12,0)&amp;""</f>
        <v>Infrastructure</v>
      </c>
      <c r="F143" s="315" t="str">
        <f>VLOOKUP($A143,'Institution Evaluation'!$A$56:$K$345,3,0)&amp;""</f>
        <v>N/A</v>
      </c>
      <c r="G143" s="315" t="str">
        <f>VLOOKUP($A143,'Institution Evaluation'!$A$56:$K$345,7,0)&amp;""</f>
        <v>Yes</v>
      </c>
      <c r="H143" s="315" t="str">
        <f>VLOOKUP($A143,'Institution Evaluation'!$A$56:$K$345,8,0)&amp;""</f>
        <v/>
      </c>
      <c r="I143" s="315" t="str">
        <f>VLOOKUP($A143,'Institution Evaluation'!$A$56:$K$345,9,0)&amp;""</f>
        <v>Standard Importance</v>
      </c>
      <c r="J143" s="315" t="str">
        <f>VLOOKUP($A143,'Institution Evaluation'!$A$56:$K$345,10,0)&amp;""</f>
        <v/>
      </c>
      <c r="K143" s="315">
        <f>IF($I143='Auto Responses'!$J$11,20,IF($I143='Auto Responses'!$J$13,5,10))</f>
        <v>10</v>
      </c>
      <c r="L143" s="284">
        <f>IF(OR($E143='Auto Responses'!$L$13,$F143=""),'Auto Responses'!$J$5,IF(AND($D143='Auto Responses'!$J$27,$H143=""),'Auto Responses'!$J$5,IF(AND($D143='Auto Responses'!$J$27,$H143='Auto Responses'!$J$7),1,IF(AND($D143='Auto Responses'!$J$27,$H143='Auto Responses'!$J$8),0,IF(OR(AND($F143=$G143,$H143=""),$H143='Auto Responses'!$J$7),1,0)))))</f>
        <v>0</v>
      </c>
      <c r="M143" s="315" t="str">
        <f>VLOOKUP($A143,'Institution Evaluation'!$A$56:$K$345,11,0)&amp;""</f>
        <v>FALSCH</v>
      </c>
      <c r="N143" s="315">
        <f>IF($J143='Auto Responses'!$J$11,1,IF(AND($J143="",$I143='Auto Responses'!$J$11),1,0))</f>
        <v>0</v>
      </c>
      <c r="O143" s="284" t="str">
        <f>IF(OR($F$17='Auto Responses'!$J$4,$E143='Auto Responses'!$L$13,$F143="",$F143='Auto Responses'!$J$5),'Auto Responses'!$J$5,IF($J143="",$K143,IF($J143='Auto Responses'!$J$13,5,IF($J143='Auto Responses'!$J$12,10,IF($J143='Auto Responses'!$J$11,20,0)))))</f>
        <v>N/A</v>
      </c>
      <c r="P143" s="284" t="str">
        <f>IF(OR($O143='Auto Responses'!$J$5,$L143='Auto Responses'!$J$5),'Auto Responses'!$J$5,$O143*$L143)</f>
        <v>N/A</v>
      </c>
      <c r="Q143" s="284">
        <f t="shared" si="15"/>
        <v>0</v>
      </c>
      <c r="R143" s="284">
        <f t="shared" si="19"/>
        <v>0</v>
      </c>
      <c r="S143" s="284">
        <f t="shared" si="16"/>
        <v>0</v>
      </c>
      <c r="T143" s="284">
        <f t="shared" si="17"/>
        <v>0</v>
      </c>
      <c r="U143" s="284">
        <f t="shared" si="20"/>
        <v>43</v>
      </c>
      <c r="V143" s="284">
        <f t="shared" si="18"/>
        <v>0</v>
      </c>
    </row>
    <row r="144" spans="1:22" ht="55.5" customHeight="1" x14ac:dyDescent="0.2">
      <c r="A144" s="315" t="str">
        <f>Questions!$A144</f>
        <v>DCTR-10</v>
      </c>
      <c r="B144" s="315" t="str">
        <f t="shared" si="14"/>
        <v>DCTR</v>
      </c>
      <c r="C144" s="315" t="str">
        <f>VLOOKUP($A144,Questions!$A$3:$L$333,2,0)&amp;""</f>
        <v>Are redundant power strategies tested?*</v>
      </c>
      <c r="D144" s="315" t="str">
        <f>VLOOKUP($A144,Questions!$A$3:$L$333,11,0)&amp;""</f>
        <v/>
      </c>
      <c r="E144" s="315" t="str">
        <f>VLOOKUP($A144,Questions!$A$3:$L$333,12,0)&amp;""</f>
        <v>Infrastructure</v>
      </c>
      <c r="F144" s="315" t="str">
        <f>VLOOKUP($A144,'Institution Evaluation'!$A$56:$K$345,3,0)&amp;""</f>
        <v>N/A</v>
      </c>
      <c r="G144" s="315" t="str">
        <f>VLOOKUP($A144,'Institution Evaluation'!$A$56:$K$345,7,0)&amp;""</f>
        <v>Yes</v>
      </c>
      <c r="H144" s="315" t="str">
        <f>VLOOKUP($A144,'Institution Evaluation'!$A$56:$K$345,8,0)&amp;""</f>
        <v/>
      </c>
      <c r="I144" s="315" t="str">
        <f>VLOOKUP($A144,'Institution Evaluation'!$A$56:$K$345,9,0)&amp;""</f>
        <v>Critical Importance</v>
      </c>
      <c r="J144" s="315" t="str">
        <f>VLOOKUP($A144,'Institution Evaluation'!$A$56:$K$345,10,0)&amp;""</f>
        <v/>
      </c>
      <c r="K144" s="315">
        <f>IF($I144='Auto Responses'!$J$11,20,IF($I144='Auto Responses'!$J$13,5,10))</f>
        <v>20</v>
      </c>
      <c r="L144" s="284">
        <f>IF(OR($E144='Auto Responses'!$L$13,$F144=""),'Auto Responses'!$J$5,IF(AND($D144='Auto Responses'!$J$27,$H144=""),'Auto Responses'!$J$5,IF(AND($D144='Auto Responses'!$J$27,$H144='Auto Responses'!$J$7),1,IF(AND($D144='Auto Responses'!$J$27,$H144='Auto Responses'!$J$8),0,IF(OR(AND($F144=$G144,$H144=""),$H144='Auto Responses'!$J$7),1,0)))))</f>
        <v>0</v>
      </c>
      <c r="M144" s="315" t="str">
        <f>VLOOKUP($A144,'Institution Evaluation'!$A$56:$K$345,11,0)&amp;""</f>
        <v>FALSCH</v>
      </c>
      <c r="N144" s="315">
        <f>IF($J144='Auto Responses'!$J$11,1,IF(AND($J144="",$I144='Auto Responses'!$J$11),1,0))</f>
        <v>1</v>
      </c>
      <c r="O144" s="284" t="str">
        <f>IF(OR($F$17='Auto Responses'!$J$4,$E144='Auto Responses'!$L$13,$F144="",$F144='Auto Responses'!$J$5),'Auto Responses'!$J$5,IF($J144="",$K144,IF($J144='Auto Responses'!$J$13,5,IF($J144='Auto Responses'!$J$12,10,IF($J144='Auto Responses'!$J$11,20,0)))))</f>
        <v>N/A</v>
      </c>
      <c r="P144" s="284" t="str">
        <f>IF(OR($O144='Auto Responses'!$J$5,$L144='Auto Responses'!$J$5),'Auto Responses'!$J$5,$O144*$L144)</f>
        <v>N/A</v>
      </c>
      <c r="Q144" s="284">
        <f t="shared" si="15"/>
        <v>0</v>
      </c>
      <c r="R144" s="284">
        <f t="shared" si="19"/>
        <v>0</v>
      </c>
      <c r="S144" s="284">
        <f t="shared" si="16"/>
        <v>0</v>
      </c>
      <c r="T144" s="284">
        <f t="shared" si="17"/>
        <v>1</v>
      </c>
      <c r="U144" s="284">
        <f t="shared" si="20"/>
        <v>44</v>
      </c>
      <c r="V144" s="284">
        <f t="shared" si="18"/>
        <v>44</v>
      </c>
    </row>
    <row r="145" spans="1:22" ht="55.5" customHeight="1" x14ac:dyDescent="0.2">
      <c r="A145" s="315" t="str">
        <f>Questions!$A145</f>
        <v>DCTR-11</v>
      </c>
      <c r="B145" s="315" t="str">
        <f t="shared" si="14"/>
        <v>DCTR</v>
      </c>
      <c r="C145" s="315" t="str">
        <f>VLOOKUP($A145,Questions!$A$3:$L$333,2,0)&amp;""</f>
        <v>Does the center where the data will reside have cooling and fire-suppression systems that are active and regularly tested?</v>
      </c>
      <c r="D145" s="315" t="str">
        <f>VLOOKUP($A145,Questions!$A$3:$L$333,11,0)&amp;""</f>
        <v/>
      </c>
      <c r="E145" s="315" t="str">
        <f>VLOOKUP($A145,Questions!$A$3:$L$333,12,0)&amp;""</f>
        <v>Infrastructure</v>
      </c>
      <c r="F145" s="315" t="str">
        <f>VLOOKUP($A145,'Institution Evaluation'!$A$56:$K$345,3,0)&amp;""</f>
        <v>N/A</v>
      </c>
      <c r="G145" s="315" t="str">
        <f>VLOOKUP($A145,'Institution Evaluation'!$A$56:$K$345,7,0)&amp;""</f>
        <v>Yes</v>
      </c>
      <c r="H145" s="315" t="str">
        <f>VLOOKUP($A145,'Institution Evaluation'!$A$56:$K$345,8,0)&amp;""</f>
        <v/>
      </c>
      <c r="I145" s="315" t="str">
        <f>VLOOKUP($A145,'Institution Evaluation'!$A$56:$K$345,9,0)&amp;""</f>
        <v>Standard Importance</v>
      </c>
      <c r="J145" s="315" t="str">
        <f>VLOOKUP($A145,'Institution Evaluation'!$A$56:$K$345,10,0)&amp;""</f>
        <v/>
      </c>
      <c r="K145" s="315">
        <f>IF($I145='Auto Responses'!$J$11,20,IF($I145='Auto Responses'!$J$13,5,10))</f>
        <v>10</v>
      </c>
      <c r="L145" s="284">
        <f>IF(OR($E145='Auto Responses'!$L$13,$F145=""),'Auto Responses'!$J$5,IF(AND($D145='Auto Responses'!$J$27,$H145=""),'Auto Responses'!$J$5,IF(AND($D145='Auto Responses'!$J$27,$H145='Auto Responses'!$J$7),1,IF(AND($D145='Auto Responses'!$J$27,$H145='Auto Responses'!$J$8),0,IF(OR(AND($F145=$G145,$H145=""),$H145='Auto Responses'!$J$7),1,0)))))</f>
        <v>0</v>
      </c>
      <c r="M145" s="315" t="str">
        <f>VLOOKUP($A145,'Institution Evaluation'!$A$56:$K$345,11,0)&amp;""</f>
        <v>FALSCH</v>
      </c>
      <c r="N145" s="315">
        <f>IF($J145='Auto Responses'!$J$11,1,IF(AND($J145="",$I145='Auto Responses'!$J$11),1,0))</f>
        <v>0</v>
      </c>
      <c r="O145" s="284" t="str">
        <f>IF(OR($F$17='Auto Responses'!$J$4,$E145='Auto Responses'!$L$13,$F145="",$F145='Auto Responses'!$J$5),'Auto Responses'!$J$5,IF($J145="",$K145,IF($J145='Auto Responses'!$J$13,5,IF($J145='Auto Responses'!$J$12,10,IF($J145='Auto Responses'!$J$11,20,0)))))</f>
        <v>N/A</v>
      </c>
      <c r="P145" s="284" t="str">
        <f>IF(OR($O145='Auto Responses'!$J$5,$L145='Auto Responses'!$J$5),'Auto Responses'!$J$5,$O145*$L145)</f>
        <v>N/A</v>
      </c>
      <c r="Q145" s="284">
        <f t="shared" si="15"/>
        <v>0</v>
      </c>
      <c r="R145" s="284">
        <f t="shared" si="19"/>
        <v>0</v>
      </c>
      <c r="S145" s="284">
        <f t="shared" si="16"/>
        <v>0</v>
      </c>
      <c r="T145" s="284">
        <f t="shared" si="17"/>
        <v>0</v>
      </c>
      <c r="U145" s="284">
        <f t="shared" si="20"/>
        <v>44</v>
      </c>
      <c r="V145" s="284">
        <f t="shared" si="18"/>
        <v>0</v>
      </c>
    </row>
    <row r="146" spans="1:22" ht="55.5" customHeight="1" x14ac:dyDescent="0.2">
      <c r="A146" s="315" t="str">
        <f>Questions!$A146</f>
        <v>DCTR-12</v>
      </c>
      <c r="B146" s="315" t="str">
        <f t="shared" si="14"/>
        <v>DCTR</v>
      </c>
      <c r="C146" s="315" t="str">
        <f>VLOOKUP($A146,Questions!$A$3:$L$333,2,0)&amp;""</f>
        <v>Do you have Internet Service Provider (ISP) redundancy?</v>
      </c>
      <c r="D146" s="315" t="str">
        <f>VLOOKUP($A146,Questions!$A$3:$L$333,11,0)&amp;""</f>
        <v/>
      </c>
      <c r="E146" s="315" t="str">
        <f>VLOOKUP($A146,Questions!$A$3:$L$333,12,0)&amp;""</f>
        <v>Infrastructure</v>
      </c>
      <c r="F146" s="315" t="str">
        <f>VLOOKUP($A146,'Institution Evaluation'!$A$56:$K$345,3,0)&amp;""</f>
        <v>N/A</v>
      </c>
      <c r="G146" s="315" t="str">
        <f>VLOOKUP($A146,'Institution Evaluation'!$A$56:$K$345,7,0)&amp;""</f>
        <v>Yes</v>
      </c>
      <c r="H146" s="315" t="str">
        <f>VLOOKUP($A146,'Institution Evaluation'!$A$56:$K$345,8,0)&amp;""</f>
        <v/>
      </c>
      <c r="I146" s="315" t="str">
        <f>VLOOKUP($A146,'Institution Evaluation'!$A$56:$K$345,9,0)&amp;""</f>
        <v>Standard Importance</v>
      </c>
      <c r="J146" s="315" t="str">
        <f>VLOOKUP($A146,'Institution Evaluation'!$A$56:$K$345,10,0)&amp;""</f>
        <v/>
      </c>
      <c r="K146" s="315">
        <f>IF($I146='Auto Responses'!$J$11,20,IF($I146='Auto Responses'!$J$13,5,10))</f>
        <v>10</v>
      </c>
      <c r="L146" s="284">
        <f>IF(OR($E146='Auto Responses'!$L$13,$F146=""),'Auto Responses'!$J$5,IF(AND($D146='Auto Responses'!$J$27,$H146=""),'Auto Responses'!$J$5,IF(AND($D146='Auto Responses'!$J$27,$H146='Auto Responses'!$J$7),1,IF(AND($D146='Auto Responses'!$J$27,$H146='Auto Responses'!$J$8),0,IF(OR(AND($F146=$G146,$H146=""),$H146='Auto Responses'!$J$7),1,0)))))</f>
        <v>0</v>
      </c>
      <c r="M146" s="315" t="str">
        <f>VLOOKUP($A146,'Institution Evaluation'!$A$56:$K$345,11,0)&amp;""</f>
        <v>FALSCH</v>
      </c>
      <c r="N146" s="315">
        <f>IF($J146='Auto Responses'!$J$11,1,IF(AND($J146="",$I146='Auto Responses'!$J$11),1,0))</f>
        <v>0</v>
      </c>
      <c r="O146" s="284" t="str">
        <f>IF(OR($F$17='Auto Responses'!$J$4,$E146='Auto Responses'!$L$13,$F146="",$F146='Auto Responses'!$J$5),'Auto Responses'!$J$5,IF($J146="",$K146,IF($J146='Auto Responses'!$J$13,5,IF($J146='Auto Responses'!$J$12,10,IF($J146='Auto Responses'!$J$11,20,0)))))</f>
        <v>N/A</v>
      </c>
      <c r="P146" s="284" t="str">
        <f>IF(OR($O146='Auto Responses'!$J$5,$L146='Auto Responses'!$J$5),'Auto Responses'!$J$5,$O146*$L146)</f>
        <v>N/A</v>
      </c>
      <c r="Q146" s="284">
        <f t="shared" si="15"/>
        <v>0</v>
      </c>
      <c r="R146" s="284">
        <f t="shared" si="19"/>
        <v>0</v>
      </c>
      <c r="S146" s="284">
        <f t="shared" si="16"/>
        <v>0</v>
      </c>
      <c r="T146" s="284">
        <f t="shared" si="17"/>
        <v>0</v>
      </c>
      <c r="U146" s="284">
        <f t="shared" si="20"/>
        <v>44</v>
      </c>
      <c r="V146" s="284">
        <f t="shared" si="18"/>
        <v>0</v>
      </c>
    </row>
    <row r="147" spans="1:22" ht="55.5" customHeight="1" x14ac:dyDescent="0.2">
      <c r="A147" s="315" t="str">
        <f>Questions!$A147</f>
        <v>DCTR-13</v>
      </c>
      <c r="B147" s="315" t="str">
        <f t="shared" si="14"/>
        <v>DCTR</v>
      </c>
      <c r="C147" s="315" t="str">
        <f>VLOOKUP($A147,Questions!$A$3:$L$333,2,0)&amp;""</f>
        <v>Does every data center where the institution's data will reside have multiple telephone company or network provider entrances to the facility?</v>
      </c>
      <c r="D147" s="315" t="str">
        <f>VLOOKUP($A147,Questions!$A$3:$L$333,11,0)&amp;""</f>
        <v/>
      </c>
      <c r="E147" s="315" t="str">
        <f>VLOOKUP($A147,Questions!$A$3:$L$333,12,0)&amp;""</f>
        <v>Infrastructure</v>
      </c>
      <c r="F147" s="315" t="str">
        <f>VLOOKUP($A147,'Institution Evaluation'!$A$56:$K$345,3,0)&amp;""</f>
        <v>N/A</v>
      </c>
      <c r="G147" s="315" t="str">
        <f>VLOOKUP($A147,'Institution Evaluation'!$A$56:$K$345,7,0)&amp;""</f>
        <v>Yes</v>
      </c>
      <c r="H147" s="315" t="str">
        <f>VLOOKUP($A147,'Institution Evaluation'!$A$56:$K$345,8,0)&amp;""</f>
        <v/>
      </c>
      <c r="I147" s="315" t="str">
        <f>VLOOKUP($A147,'Institution Evaluation'!$A$56:$K$345,9,0)&amp;""</f>
        <v>Standard Importance</v>
      </c>
      <c r="J147" s="315" t="str">
        <f>VLOOKUP($A147,'Institution Evaluation'!$A$56:$K$345,10,0)&amp;""</f>
        <v/>
      </c>
      <c r="K147" s="315">
        <f>IF($I147='Auto Responses'!$J$11,20,IF($I147='Auto Responses'!$J$13,5,10))</f>
        <v>10</v>
      </c>
      <c r="L147" s="284">
        <f>IF(OR($E147='Auto Responses'!$L$13,$F147=""),'Auto Responses'!$J$5,IF(AND($D147='Auto Responses'!$J$27,$H147=""),'Auto Responses'!$J$5,IF(AND($D147='Auto Responses'!$J$27,$H147='Auto Responses'!$J$7),1,IF(AND($D147='Auto Responses'!$J$27,$H147='Auto Responses'!$J$8),0,IF(OR(AND($F147=$G147,$H147=""),$H147='Auto Responses'!$J$7),1,0)))))</f>
        <v>0</v>
      </c>
      <c r="M147" s="315" t="str">
        <f>VLOOKUP($A147,'Institution Evaluation'!$A$56:$K$345,11,0)&amp;""</f>
        <v>FALSCH</v>
      </c>
      <c r="N147" s="315">
        <f>IF($J147='Auto Responses'!$J$11,1,IF(AND($J147="",$I147='Auto Responses'!$J$11),1,0))</f>
        <v>0</v>
      </c>
      <c r="O147" s="284" t="str">
        <f>IF(OR($F$17='Auto Responses'!$J$4,$E147='Auto Responses'!$L$13,$F147="",$F147='Auto Responses'!$J$5),'Auto Responses'!$J$5,IF($J147="",$K147,IF($J147='Auto Responses'!$J$13,5,IF($J147='Auto Responses'!$J$12,10,IF($J147='Auto Responses'!$J$11,20,0)))))</f>
        <v>N/A</v>
      </c>
      <c r="P147" s="284" t="str">
        <f>IF(OR($O147='Auto Responses'!$J$5,$L147='Auto Responses'!$J$5),'Auto Responses'!$J$5,$O147*$L147)</f>
        <v>N/A</v>
      </c>
      <c r="Q147" s="284">
        <f t="shared" si="15"/>
        <v>0</v>
      </c>
      <c r="R147" s="284">
        <f t="shared" si="19"/>
        <v>0</v>
      </c>
      <c r="S147" s="284">
        <f t="shared" si="16"/>
        <v>0</v>
      </c>
      <c r="T147" s="284">
        <f t="shared" si="17"/>
        <v>0</v>
      </c>
      <c r="U147" s="284">
        <f t="shared" si="20"/>
        <v>44</v>
      </c>
      <c r="V147" s="284">
        <f t="shared" si="18"/>
        <v>0</v>
      </c>
    </row>
    <row r="148" spans="1:22" ht="55.5" customHeight="1" x14ac:dyDescent="0.2">
      <c r="A148" s="315" t="str">
        <f>Questions!$A148</f>
        <v>DCTR-14</v>
      </c>
      <c r="B148" s="315" t="str">
        <f t="shared" si="14"/>
        <v>DCTR</v>
      </c>
      <c r="C148" s="315" t="str">
        <f>VLOOKUP($A148,Questions!$A$3:$L$333,2,0)&amp;""</f>
        <v>Do you require multifactor authentication for all administrative accounts in your environment?</v>
      </c>
      <c r="D148" s="315" t="str">
        <f>VLOOKUP($A148,Questions!$A$3:$L$333,11,0)&amp;""</f>
        <v/>
      </c>
      <c r="E148" s="315" t="str">
        <f>VLOOKUP($A148,Questions!$A$3:$L$333,12,0)&amp;""</f>
        <v>Infrastructure</v>
      </c>
      <c r="F148" s="315" t="str">
        <f>VLOOKUP($A148,'Institution Evaluation'!$A$56:$K$345,3,0)&amp;""</f>
        <v>N/A</v>
      </c>
      <c r="G148" s="315" t="str">
        <f>VLOOKUP($A148,'Institution Evaluation'!$A$56:$K$345,7,0)&amp;""</f>
        <v>Yes</v>
      </c>
      <c r="H148" s="315" t="str">
        <f>VLOOKUP($A148,'Institution Evaluation'!$A$56:$K$345,8,0)&amp;""</f>
        <v/>
      </c>
      <c r="I148" s="315" t="str">
        <f>VLOOKUP($A148,'Institution Evaluation'!$A$56:$K$345,9,0)&amp;""</f>
        <v>Standard Importance</v>
      </c>
      <c r="J148" s="315" t="str">
        <f>VLOOKUP($A148,'Institution Evaluation'!$A$56:$K$345,10,0)&amp;""</f>
        <v/>
      </c>
      <c r="K148" s="315">
        <f>IF($I148='Auto Responses'!$J$11,20,IF($I148='Auto Responses'!$J$13,5,10))</f>
        <v>10</v>
      </c>
      <c r="L148" s="284">
        <f>IF(OR($E148='Auto Responses'!$L$13,$F148=""),'Auto Responses'!$J$5,IF(AND($D148='Auto Responses'!$J$27,$H148=""),'Auto Responses'!$J$5,IF(AND($D148='Auto Responses'!$J$27,$H148='Auto Responses'!$J$7),1,IF(AND($D148='Auto Responses'!$J$27,$H148='Auto Responses'!$J$8),0,IF(OR(AND($F148=$G148,$H148=""),$H148='Auto Responses'!$J$7),1,0)))))</f>
        <v>0</v>
      </c>
      <c r="M148" s="315" t="str">
        <f>VLOOKUP($A148,'Institution Evaluation'!$A$56:$K$345,11,0)&amp;""</f>
        <v>FALSCH</v>
      </c>
      <c r="N148" s="315">
        <f>IF($J148='Auto Responses'!$J$11,1,IF(AND($J148="",$I148='Auto Responses'!$J$11),1,0))</f>
        <v>0</v>
      </c>
      <c r="O148" s="284" t="str">
        <f>IF(OR($F$17='Auto Responses'!$J$4,$E148='Auto Responses'!$L$13,$F148="",$F148='Auto Responses'!$J$5),'Auto Responses'!$J$5,IF($J148="",$K148,IF($J148='Auto Responses'!$J$13,5,IF($J148='Auto Responses'!$J$12,10,IF($J148='Auto Responses'!$J$11,20,0)))))</f>
        <v>N/A</v>
      </c>
      <c r="P148" s="284" t="str">
        <f>IF(OR($O148='Auto Responses'!$J$5,$L148='Auto Responses'!$J$5),'Auto Responses'!$J$5,$O148*$L148)</f>
        <v>N/A</v>
      </c>
      <c r="Q148" s="284">
        <f t="shared" si="15"/>
        <v>0</v>
      </c>
      <c r="R148" s="284">
        <f t="shared" si="19"/>
        <v>0</v>
      </c>
      <c r="S148" s="284">
        <f t="shared" si="16"/>
        <v>0</v>
      </c>
      <c r="T148" s="284">
        <f t="shared" si="17"/>
        <v>0</v>
      </c>
      <c r="U148" s="284">
        <f t="shared" si="20"/>
        <v>44</v>
      </c>
      <c r="V148" s="284">
        <f t="shared" si="18"/>
        <v>0</v>
      </c>
    </row>
    <row r="149" spans="1:22" ht="55.5" customHeight="1" x14ac:dyDescent="0.2">
      <c r="A149" s="315" t="str">
        <f>Questions!$A149</f>
        <v>DCTR-15</v>
      </c>
      <c r="B149" s="315" t="str">
        <f t="shared" si="14"/>
        <v>DCTR</v>
      </c>
      <c r="C149" s="315" t="str">
        <f>VLOOKUP($A149,Questions!$A$3:$L$333,2,0)&amp;""</f>
        <v>Are you using your cloud provider's available hardening tools or pre-hardened images?</v>
      </c>
      <c r="D149" s="315" t="str">
        <f>VLOOKUP($A149,Questions!$A$3:$L$333,11,0)&amp;""</f>
        <v/>
      </c>
      <c r="E149" s="315" t="str">
        <f>VLOOKUP($A149,Questions!$A$3:$L$333,12,0)&amp;""</f>
        <v>Infrastructure</v>
      </c>
      <c r="F149" s="315" t="str">
        <f>VLOOKUP($A149,'Institution Evaluation'!$A$56:$K$345,3,0)&amp;""</f>
        <v>N/A</v>
      </c>
      <c r="G149" s="315" t="str">
        <f>VLOOKUP($A149,'Institution Evaluation'!$A$56:$K$345,7,0)&amp;""</f>
        <v>Yes</v>
      </c>
      <c r="H149" s="315" t="str">
        <f>VLOOKUP($A149,'Institution Evaluation'!$A$56:$K$345,8,0)&amp;""</f>
        <v/>
      </c>
      <c r="I149" s="315" t="str">
        <f>VLOOKUP($A149,'Institution Evaluation'!$A$56:$K$345,9,0)&amp;""</f>
        <v>Standard Importance</v>
      </c>
      <c r="J149" s="315" t="str">
        <f>VLOOKUP($A149,'Institution Evaluation'!$A$56:$K$345,10,0)&amp;""</f>
        <v/>
      </c>
      <c r="K149" s="315">
        <f>IF($I149='Auto Responses'!$J$11,20,IF($I149='Auto Responses'!$J$13,5,10))</f>
        <v>10</v>
      </c>
      <c r="L149" s="284">
        <f>IF(OR($E149='Auto Responses'!$L$13,$F149=""),'Auto Responses'!$J$5,IF(AND($D149='Auto Responses'!$J$27,$H149=""),'Auto Responses'!$J$5,IF(AND($D149='Auto Responses'!$J$27,$H149='Auto Responses'!$J$7),1,IF(AND($D149='Auto Responses'!$J$27,$H149='Auto Responses'!$J$8),0,IF(OR(AND($F149=$G149,$H149=""),$H149='Auto Responses'!$J$7),1,0)))))</f>
        <v>0</v>
      </c>
      <c r="M149" s="315" t="str">
        <f>VLOOKUP($A149,'Institution Evaluation'!$A$56:$K$345,11,0)&amp;""</f>
        <v>FALSCH</v>
      </c>
      <c r="N149" s="315">
        <f>IF($J149='Auto Responses'!$J$11,1,IF(AND($J149="",$I149='Auto Responses'!$J$11),1,0))</f>
        <v>0</v>
      </c>
      <c r="O149" s="284" t="str">
        <f>IF(OR($F$17='Auto Responses'!$J$4,$E149='Auto Responses'!$L$13,$F149="",$F149='Auto Responses'!$J$5),'Auto Responses'!$J$5,IF($J149="",$K149,IF($J149='Auto Responses'!$J$13,5,IF($J149='Auto Responses'!$J$12,10,IF($J149='Auto Responses'!$J$11,20,0)))))</f>
        <v>N/A</v>
      </c>
      <c r="P149" s="284" t="str">
        <f>IF(OR($O149='Auto Responses'!$J$5,$L149='Auto Responses'!$J$5),'Auto Responses'!$J$5,$O149*$L149)</f>
        <v>N/A</v>
      </c>
      <c r="Q149" s="284">
        <f t="shared" si="15"/>
        <v>0</v>
      </c>
      <c r="R149" s="284">
        <f t="shared" si="19"/>
        <v>0</v>
      </c>
      <c r="S149" s="284">
        <f t="shared" si="16"/>
        <v>0</v>
      </c>
      <c r="T149" s="284">
        <f t="shared" si="17"/>
        <v>0</v>
      </c>
      <c r="U149" s="284">
        <f t="shared" si="20"/>
        <v>44</v>
      </c>
      <c r="V149" s="284">
        <f t="shared" si="18"/>
        <v>0</v>
      </c>
    </row>
    <row r="150" spans="1:22" ht="55.5" customHeight="1" x14ac:dyDescent="0.2">
      <c r="A150" s="315" t="str">
        <f>Questions!$A150</f>
        <v>DCTR-16</v>
      </c>
      <c r="B150" s="315" t="str">
        <f t="shared" si="14"/>
        <v>DCTR</v>
      </c>
      <c r="C150" s="315" t="str">
        <f>VLOOKUP($A150,Questions!$A$3:$L$333,2,0)&amp;""</f>
        <v>Does your cloud solution provider have access to your encryption keys?</v>
      </c>
      <c r="D150" s="315" t="str">
        <f>VLOOKUP($A150,Questions!$A$3:$L$333,11,0)&amp;""</f>
        <v/>
      </c>
      <c r="E150" s="315" t="str">
        <f>VLOOKUP($A150,Questions!$A$3:$L$333,12,0)&amp;""</f>
        <v>Infrastructure</v>
      </c>
      <c r="F150" s="315" t="str">
        <f>VLOOKUP($A150,'Institution Evaluation'!$A$56:$K$345,3,0)&amp;""</f>
        <v>N/A</v>
      </c>
      <c r="G150" s="315" t="str">
        <f>VLOOKUP($A150,'Institution Evaluation'!$A$56:$K$345,7,0)&amp;""</f>
        <v>No</v>
      </c>
      <c r="H150" s="315" t="str">
        <f>VLOOKUP($A150,'Institution Evaluation'!$A$56:$K$345,8,0)&amp;""</f>
        <v/>
      </c>
      <c r="I150" s="315" t="str">
        <f>VLOOKUP($A150,'Institution Evaluation'!$A$56:$K$345,9,0)&amp;""</f>
        <v>Standard Importance</v>
      </c>
      <c r="J150" s="315" t="str">
        <f>VLOOKUP($A150,'Institution Evaluation'!$A$56:$K$345,10,0)&amp;""</f>
        <v/>
      </c>
      <c r="K150" s="315">
        <f>IF($I150='Auto Responses'!$J$11,20,IF($I150='Auto Responses'!$J$13,5,10))</f>
        <v>10</v>
      </c>
      <c r="L150" s="284">
        <f>IF(OR($E150='Auto Responses'!$L$13,$F150=""),'Auto Responses'!$J$5,IF(AND($D150='Auto Responses'!$J$27,$H150=""),'Auto Responses'!$J$5,IF(AND($D150='Auto Responses'!$J$27,$H150='Auto Responses'!$J$7),1,IF(AND($D150='Auto Responses'!$J$27,$H150='Auto Responses'!$J$8),0,IF(OR(AND($F150=$G150,$H150=""),$H150='Auto Responses'!$J$7),1,0)))))</f>
        <v>0</v>
      </c>
      <c r="M150" s="315" t="str">
        <f>VLOOKUP($A150,'Institution Evaluation'!$A$56:$K$345,11,0)&amp;""</f>
        <v>FALSCH</v>
      </c>
      <c r="N150" s="315">
        <f>IF($J150='Auto Responses'!$J$11,1,IF(AND($J150="",$I150='Auto Responses'!$J$11),1,0))</f>
        <v>0</v>
      </c>
      <c r="O150" s="284" t="str">
        <f>IF(OR($F$17='Auto Responses'!$J$4,$E150='Auto Responses'!$L$13,$F150="",$F150='Auto Responses'!$J$5),'Auto Responses'!$J$5,IF($J150="",$K150,IF($J150='Auto Responses'!$J$13,5,IF($J150='Auto Responses'!$J$12,10,IF($J150='Auto Responses'!$J$11,20,0)))))</f>
        <v>N/A</v>
      </c>
      <c r="P150" s="284" t="str">
        <f>IF(OR($O150='Auto Responses'!$J$5,$L150='Auto Responses'!$J$5),'Auto Responses'!$J$5,$O150*$L150)</f>
        <v>N/A</v>
      </c>
      <c r="Q150" s="284">
        <f t="shared" si="15"/>
        <v>0</v>
      </c>
      <c r="R150" s="284">
        <f t="shared" si="19"/>
        <v>0</v>
      </c>
      <c r="S150" s="284">
        <f t="shared" si="16"/>
        <v>0</v>
      </c>
      <c r="T150" s="284">
        <f t="shared" si="17"/>
        <v>0</v>
      </c>
      <c r="U150" s="284">
        <f t="shared" si="20"/>
        <v>44</v>
      </c>
      <c r="V150" s="284">
        <f t="shared" si="18"/>
        <v>0</v>
      </c>
    </row>
    <row r="151" spans="1:22" ht="55.5" customHeight="1" x14ac:dyDescent="0.2">
      <c r="A151" s="315" t="str">
        <f>Questions!$A151</f>
        <v>FIDP-01</v>
      </c>
      <c r="B151" s="315" t="str">
        <f t="shared" si="14"/>
        <v>FIDP</v>
      </c>
      <c r="C151" s="315" t="str">
        <f>VLOOKUP($A151,Questions!$A$3:$L$333,2,0)&amp;""</f>
        <v>Are you utilizing a stateful packet inspection (SPI) firewall?*</v>
      </c>
      <c r="D151" s="315" t="str">
        <f>VLOOKUP($A151,Questions!$A$3:$L$333,11,0)&amp;""</f>
        <v/>
      </c>
      <c r="E151" s="315" t="str">
        <f>VLOOKUP($A151,Questions!$A$3:$L$333,12,0)&amp;""</f>
        <v>Infrastructure</v>
      </c>
      <c r="F151" s="315" t="str">
        <f>VLOOKUP($A151,'Institution Evaluation'!$A$56:$K$345,3,0)&amp;""</f>
        <v>N/A</v>
      </c>
      <c r="G151" s="315" t="str">
        <f>VLOOKUP($A151,'Institution Evaluation'!$A$56:$K$345,7,0)&amp;""</f>
        <v>Yes</v>
      </c>
      <c r="H151" s="315" t="str">
        <f>VLOOKUP($A151,'Institution Evaluation'!$A$56:$K$345,8,0)&amp;""</f>
        <v/>
      </c>
      <c r="I151" s="315" t="str">
        <f>VLOOKUP($A151,'Institution Evaluation'!$A$56:$K$345,9,0)&amp;""</f>
        <v>Critical Importance</v>
      </c>
      <c r="J151" s="315" t="str">
        <f>VLOOKUP($A151,'Institution Evaluation'!$A$56:$K$345,10,0)&amp;""</f>
        <v/>
      </c>
      <c r="K151" s="315">
        <f>IF($I151='Auto Responses'!$J$11,20,IF($I151='Auto Responses'!$J$13,5,10))</f>
        <v>20</v>
      </c>
      <c r="L151" s="284">
        <f>IF($E151='Auto Responses'!$L$13, 'Auto Responses'!$J$5,IF(AND($D151='Auto Responses'!$J$27,$H151=""),'Auto Responses'!$J$5,IF(AND($D151='Auto Responses'!$J$27,$H151='Auto Responses'!$J$7),1,IF(AND($D151='Auto Responses'!$J$27,$H151='Auto Responses'!$J$8),0,IF(OR(AND($F151=$G151,$H151=""),$H151='Auto Responses'!$J$7),1,0)))))</f>
        <v>0</v>
      </c>
      <c r="M151" s="315" t="str">
        <f>VLOOKUP($A151,'Institution Evaluation'!$A$56:$K$345,11,0)&amp;""</f>
        <v>FALSCH</v>
      </c>
      <c r="N151" s="315">
        <f>IF($J151='Auto Responses'!$J$11,1,IF(AND($J151="",$I151='Auto Responses'!$J$11),1,0))</f>
        <v>1</v>
      </c>
      <c r="O151" s="284" t="str">
        <f>IF(OR($F$17='Auto Responses'!$J$4,$E151='Auto Responses'!$L$13,$F151='Auto Responses'!$J$5),'Auto Responses'!$J$5,IF($J151="",$K151,IF($J151='Auto Responses'!$J$13,5,IF($J151='Auto Responses'!$J$12,10,IF($J151='Auto Responses'!$J$11,20,0)))))</f>
        <v>N/A</v>
      </c>
      <c r="P151" s="284" t="str">
        <f>IF(OR($O151='Auto Responses'!$J$5,$L151='Auto Responses'!$J$5),'Auto Responses'!$J$5,$O151*$L151)</f>
        <v>N/A</v>
      </c>
      <c r="Q151" s="284">
        <f t="shared" si="15"/>
        <v>0</v>
      </c>
      <c r="R151" s="284">
        <f t="shared" si="19"/>
        <v>0</v>
      </c>
      <c r="S151" s="284">
        <f t="shared" si="16"/>
        <v>0</v>
      </c>
      <c r="T151" s="284">
        <f t="shared" si="17"/>
        <v>1</v>
      </c>
      <c r="U151" s="284">
        <f t="shared" si="20"/>
        <v>45</v>
      </c>
      <c r="V151" s="284">
        <f t="shared" si="18"/>
        <v>45</v>
      </c>
    </row>
    <row r="152" spans="1:22" ht="55.5" customHeight="1" x14ac:dyDescent="0.2">
      <c r="A152" s="315" t="str">
        <f>Questions!$A152</f>
        <v>FIDP-02</v>
      </c>
      <c r="B152" s="315" t="str">
        <f t="shared" si="14"/>
        <v>FIDP</v>
      </c>
      <c r="C152" s="315" t="str">
        <f>VLOOKUP($A152,Questions!$A$3:$L$333,2,0)&amp;""</f>
        <v>Do you have a documented policy for firewall change requests?*</v>
      </c>
      <c r="D152" s="315" t="str">
        <f>VLOOKUP($A152,Questions!$A$3:$L$333,11,0)&amp;""</f>
        <v/>
      </c>
      <c r="E152" s="315" t="str">
        <f>VLOOKUP($A152,Questions!$A$3:$L$333,12,0)&amp;""</f>
        <v>Infrastructure</v>
      </c>
      <c r="F152" s="315" t="str">
        <f>VLOOKUP($A152,'Institution Evaluation'!$A$56:$K$345,3,0)&amp;""</f>
        <v>N/A</v>
      </c>
      <c r="G152" s="315" t="str">
        <f>VLOOKUP($A152,'Institution Evaluation'!$A$56:$K$345,7,0)&amp;""</f>
        <v>Yes</v>
      </c>
      <c r="H152" s="315" t="str">
        <f>VLOOKUP($A152,'Institution Evaluation'!$A$56:$K$345,8,0)&amp;""</f>
        <v/>
      </c>
      <c r="I152" s="315" t="str">
        <f>VLOOKUP($A152,'Institution Evaluation'!$A$56:$K$345,9,0)&amp;""</f>
        <v>Critical Importance</v>
      </c>
      <c r="J152" s="315" t="str">
        <f>VLOOKUP($A152,'Institution Evaluation'!$A$56:$K$345,10,0)&amp;""</f>
        <v/>
      </c>
      <c r="K152" s="315">
        <f>IF($I152='Auto Responses'!$J$11,20,IF($I152='Auto Responses'!$J$13,5,10))</f>
        <v>20</v>
      </c>
      <c r="L152" s="284">
        <f>IF($E152='Auto Responses'!$L$13, 'Auto Responses'!$J$5,IF(AND($D152='Auto Responses'!$J$27,$H152=""),'Auto Responses'!$J$5,IF(AND($D152='Auto Responses'!$J$27,$H152='Auto Responses'!$J$7),1,IF(AND($D152='Auto Responses'!$J$27,$H152='Auto Responses'!$J$8),0,IF(OR(AND($F152=$G152,$H152=""),$H152='Auto Responses'!$J$7),1,0)))))</f>
        <v>0</v>
      </c>
      <c r="M152" s="315" t="str">
        <f>VLOOKUP($A152,'Institution Evaluation'!$A$56:$K$345,11,0)&amp;""</f>
        <v>FALSCH</v>
      </c>
      <c r="N152" s="315">
        <f>IF($J152='Auto Responses'!$J$11,1,IF(AND($J152="",$I152='Auto Responses'!$J$11),1,0))</f>
        <v>1</v>
      </c>
      <c r="O152" s="284" t="str">
        <f>IF(OR($F$17='Auto Responses'!$J$4,$E152='Auto Responses'!$L$13,$F152='Auto Responses'!$J$5),'Auto Responses'!$J$5,IF($J152="",$K152,IF($J152='Auto Responses'!$J$13,5,IF($J152='Auto Responses'!$J$12,10,IF($J152='Auto Responses'!$J$11,20,0)))))</f>
        <v>N/A</v>
      </c>
      <c r="P152" s="284" t="str">
        <f>IF(OR($O152='Auto Responses'!$J$5,$L152='Auto Responses'!$J$5),'Auto Responses'!$J$5,$O152*$L152)</f>
        <v>N/A</v>
      </c>
      <c r="Q152" s="284">
        <f t="shared" si="15"/>
        <v>0</v>
      </c>
      <c r="R152" s="284">
        <f t="shared" si="19"/>
        <v>0</v>
      </c>
      <c r="S152" s="284">
        <f t="shared" si="16"/>
        <v>0</v>
      </c>
      <c r="T152" s="284">
        <f t="shared" si="17"/>
        <v>1</v>
      </c>
      <c r="U152" s="284">
        <f t="shared" si="20"/>
        <v>46</v>
      </c>
      <c r="V152" s="284">
        <f t="shared" si="18"/>
        <v>46</v>
      </c>
    </row>
    <row r="153" spans="1:22" ht="55.5" customHeight="1" x14ac:dyDescent="0.2">
      <c r="A153" s="315" t="str">
        <f>Questions!$A153</f>
        <v>FIDP-03</v>
      </c>
      <c r="B153" s="315" t="str">
        <f t="shared" si="14"/>
        <v>FIDP</v>
      </c>
      <c r="C153" s="315" t="str">
        <f>VLOOKUP($A153,Questions!$A$3:$L$333,2,0)&amp;""</f>
        <v>Have you implemented an intrusion detection system (network-based)?*</v>
      </c>
      <c r="D153" s="315" t="str">
        <f>VLOOKUP($A153,Questions!$A$3:$L$333,11,0)&amp;""</f>
        <v/>
      </c>
      <c r="E153" s="315" t="str">
        <f>VLOOKUP($A153,Questions!$A$3:$L$333,12,0)&amp;""</f>
        <v>Infrastructure</v>
      </c>
      <c r="F153" s="315" t="str">
        <f>VLOOKUP($A153,'Institution Evaluation'!$A$56:$K$345,3,0)&amp;""</f>
        <v>N/A</v>
      </c>
      <c r="G153" s="315" t="str">
        <f>VLOOKUP($A153,'Institution Evaluation'!$A$56:$K$345,7,0)&amp;""</f>
        <v>Yes</v>
      </c>
      <c r="H153" s="315" t="str">
        <f>VLOOKUP($A153,'Institution Evaluation'!$A$56:$K$345,8,0)&amp;""</f>
        <v/>
      </c>
      <c r="I153" s="315" t="str">
        <f>VLOOKUP($A153,'Institution Evaluation'!$A$56:$K$345,9,0)&amp;""</f>
        <v>Critical Importance</v>
      </c>
      <c r="J153" s="315" t="str">
        <f>VLOOKUP($A153,'Institution Evaluation'!$A$56:$K$345,10,0)&amp;""</f>
        <v/>
      </c>
      <c r="K153" s="315">
        <f>IF($I153='Auto Responses'!$J$11,20,IF($I153='Auto Responses'!$J$13,5,10))</f>
        <v>20</v>
      </c>
      <c r="L153" s="284">
        <f>IF($E153='Auto Responses'!$L$13, 'Auto Responses'!$J$5,IF(AND($D153='Auto Responses'!$J$27,$H153=""),'Auto Responses'!$J$5,IF(AND($D153='Auto Responses'!$J$27,$H153='Auto Responses'!$J$7),1,IF(AND($D153='Auto Responses'!$J$27,$H153='Auto Responses'!$J$8),0,IF(OR(AND($F153=$G153,$H153=""),$H153='Auto Responses'!$J$7),1,0)))))</f>
        <v>0</v>
      </c>
      <c r="M153" s="315" t="str">
        <f>VLOOKUP($A153,'Institution Evaluation'!$A$56:$K$345,11,0)&amp;""</f>
        <v>FALSCH</v>
      </c>
      <c r="N153" s="315">
        <f>IF($J153='Auto Responses'!$J$11,1,IF(AND($J153="",$I153='Auto Responses'!$J$11),1,0))</f>
        <v>1</v>
      </c>
      <c r="O153" s="284" t="str">
        <f>IF(OR($F$17='Auto Responses'!$J$4,$E153='Auto Responses'!$L$13,$F153='Auto Responses'!$J$5),'Auto Responses'!$J$5,IF($J153="",$K153,IF($J153='Auto Responses'!$J$13,5,IF($J153='Auto Responses'!$J$12,10,IF($J153='Auto Responses'!$J$11,20,0)))))</f>
        <v>N/A</v>
      </c>
      <c r="P153" s="284" t="str">
        <f>IF(OR($O153='Auto Responses'!$J$5,$L153='Auto Responses'!$J$5),'Auto Responses'!$J$5,$O153*$L153)</f>
        <v>N/A</v>
      </c>
      <c r="Q153" s="284">
        <f t="shared" si="15"/>
        <v>0</v>
      </c>
      <c r="R153" s="284">
        <f t="shared" si="19"/>
        <v>0</v>
      </c>
      <c r="S153" s="284">
        <f t="shared" si="16"/>
        <v>0</v>
      </c>
      <c r="T153" s="284">
        <f t="shared" si="17"/>
        <v>1</v>
      </c>
      <c r="U153" s="284">
        <f t="shared" si="20"/>
        <v>47</v>
      </c>
      <c r="V153" s="284">
        <f t="shared" si="18"/>
        <v>47</v>
      </c>
    </row>
    <row r="154" spans="1:22" ht="55.5" customHeight="1" x14ac:dyDescent="0.2">
      <c r="A154" s="315" t="str">
        <f>Questions!$A154</f>
        <v>FIDP-04</v>
      </c>
      <c r="B154" s="315" t="str">
        <f t="shared" si="14"/>
        <v>FIDP</v>
      </c>
      <c r="C154" s="315" t="str">
        <f>VLOOKUP($A154,Questions!$A$3:$L$333,2,0)&amp;""</f>
        <v>Do you employ host-based intrusion detection?*</v>
      </c>
      <c r="D154" s="315" t="str">
        <f>VLOOKUP($A154,Questions!$A$3:$L$333,11,0)&amp;""</f>
        <v/>
      </c>
      <c r="E154" s="315" t="str">
        <f>VLOOKUP($A154,Questions!$A$3:$L$333,12,0)&amp;""</f>
        <v>Infrastructure</v>
      </c>
      <c r="F154" s="315" t="str">
        <f>VLOOKUP($A154,'Institution Evaluation'!$A$56:$K$345,3,0)&amp;""</f>
        <v>N/A</v>
      </c>
      <c r="G154" s="315" t="str">
        <f>VLOOKUP($A154,'Institution Evaluation'!$A$56:$K$345,7,0)&amp;""</f>
        <v>Yes</v>
      </c>
      <c r="H154" s="315" t="str">
        <f>VLOOKUP($A154,'Institution Evaluation'!$A$56:$K$345,8,0)&amp;""</f>
        <v/>
      </c>
      <c r="I154" s="315" t="str">
        <f>VLOOKUP($A154,'Institution Evaluation'!$A$56:$K$345,9,0)&amp;""</f>
        <v>Critical Importance</v>
      </c>
      <c r="J154" s="315" t="str">
        <f>VLOOKUP($A154,'Institution Evaluation'!$A$56:$K$345,10,0)&amp;""</f>
        <v/>
      </c>
      <c r="K154" s="315">
        <f>IF($I154='Auto Responses'!$J$11,20,IF($I154='Auto Responses'!$J$13,5,10))</f>
        <v>20</v>
      </c>
      <c r="L154" s="284">
        <f>IF($E154='Auto Responses'!$L$13, 'Auto Responses'!$J$5,IF(AND($D154='Auto Responses'!$J$27,$H154=""),'Auto Responses'!$J$5,IF(AND($D154='Auto Responses'!$J$27,$H154='Auto Responses'!$J$7),1,IF(AND($D154='Auto Responses'!$J$27,$H154='Auto Responses'!$J$8),0,IF(OR(AND($F154=$G154,$H154=""),$H154='Auto Responses'!$J$7),1,0)))))</f>
        <v>0</v>
      </c>
      <c r="M154" s="315" t="str">
        <f>VLOOKUP($A154,'Institution Evaluation'!$A$56:$K$345,11,0)&amp;""</f>
        <v>FALSCH</v>
      </c>
      <c r="N154" s="315">
        <f>IF($J154='Auto Responses'!$J$11,1,IF(AND($J154="",$I154='Auto Responses'!$J$11),1,0))</f>
        <v>1</v>
      </c>
      <c r="O154" s="284" t="str">
        <f>IF(OR($F$17='Auto Responses'!$J$4,$E154='Auto Responses'!$L$13,$F154='Auto Responses'!$J$5),'Auto Responses'!$J$5,IF($J154="",$K154,IF($J154='Auto Responses'!$J$13,5,IF($J154='Auto Responses'!$J$12,10,IF($J154='Auto Responses'!$J$11,20,0)))))</f>
        <v>N/A</v>
      </c>
      <c r="P154" s="284" t="str">
        <f>IF(OR($O154='Auto Responses'!$J$5,$L154='Auto Responses'!$J$5),'Auto Responses'!$J$5,$O154*$L154)</f>
        <v>N/A</v>
      </c>
      <c r="Q154" s="284">
        <f t="shared" si="15"/>
        <v>0</v>
      </c>
      <c r="R154" s="284">
        <f t="shared" si="19"/>
        <v>0</v>
      </c>
      <c r="S154" s="284">
        <f t="shared" si="16"/>
        <v>0</v>
      </c>
      <c r="T154" s="284">
        <f t="shared" si="17"/>
        <v>1</v>
      </c>
      <c r="U154" s="284">
        <f t="shared" si="20"/>
        <v>48</v>
      </c>
      <c r="V154" s="284">
        <f t="shared" si="18"/>
        <v>48</v>
      </c>
    </row>
    <row r="155" spans="1:22" ht="55.5" customHeight="1" x14ac:dyDescent="0.2">
      <c r="A155" s="315" t="str">
        <f>Questions!$A155</f>
        <v>FIDP-05</v>
      </c>
      <c r="B155" s="315" t="str">
        <f t="shared" si="14"/>
        <v>FIDP</v>
      </c>
      <c r="C155" s="315" t="str">
        <f>VLOOKUP($A155,Questions!$A$3:$L$333,2,0)&amp;""</f>
        <v>Are audit logs available for all changes to the network, firewall, IDS, and IPS systems?*</v>
      </c>
      <c r="D155" s="315" t="str">
        <f>VLOOKUP($A155,Questions!$A$3:$L$333,11,0)&amp;""</f>
        <v/>
      </c>
      <c r="E155" s="315" t="str">
        <f>VLOOKUP($A155,Questions!$A$3:$L$333,12,0)&amp;""</f>
        <v>Infrastructure</v>
      </c>
      <c r="F155" s="315" t="str">
        <f>VLOOKUP($A155,'Institution Evaluation'!$A$56:$K$345,3,0)&amp;""</f>
        <v>N/A</v>
      </c>
      <c r="G155" s="315" t="str">
        <f>VLOOKUP($A155,'Institution Evaluation'!$A$56:$K$345,7,0)&amp;""</f>
        <v>Yes</v>
      </c>
      <c r="H155" s="315" t="str">
        <f>VLOOKUP($A155,'Institution Evaluation'!$A$56:$K$345,8,0)&amp;""</f>
        <v/>
      </c>
      <c r="I155" s="315" t="str">
        <f>VLOOKUP($A155,'Institution Evaluation'!$A$56:$K$345,9,0)&amp;""</f>
        <v>Critical Importance</v>
      </c>
      <c r="J155" s="315" t="str">
        <f>VLOOKUP($A155,'Institution Evaluation'!$A$56:$K$345,10,0)&amp;""</f>
        <v/>
      </c>
      <c r="K155" s="315">
        <f>IF($I155='Auto Responses'!$J$11,20,IF($I155='Auto Responses'!$J$13,5,10))</f>
        <v>20</v>
      </c>
      <c r="L155" s="284">
        <f>IF($E155='Auto Responses'!$L$13, 'Auto Responses'!$J$5,IF(AND($D155='Auto Responses'!$J$27,$H155=""),'Auto Responses'!$J$5,IF(AND($D155='Auto Responses'!$J$27,$H155='Auto Responses'!$J$7),1,IF(AND($D155='Auto Responses'!$J$27,$H155='Auto Responses'!$J$8),0,IF(OR(AND($F155=$G155,$H155=""),$H155='Auto Responses'!$J$7),1,0)))))</f>
        <v>0</v>
      </c>
      <c r="M155" s="315" t="str">
        <f>VLOOKUP($A155,'Institution Evaluation'!$A$56:$K$345,11,0)&amp;""</f>
        <v>FALSCH</v>
      </c>
      <c r="N155" s="315">
        <f>IF($J155='Auto Responses'!$J$11,1,IF(AND($J155="",$I155='Auto Responses'!$J$11),1,0))</f>
        <v>1</v>
      </c>
      <c r="O155" s="284" t="str">
        <f>IF(OR($F$17='Auto Responses'!$J$4,$E155='Auto Responses'!$L$13,$F155='Auto Responses'!$J$5),'Auto Responses'!$J$5,IF($J155="",$K155,IF($J155='Auto Responses'!$J$13,5,IF($J155='Auto Responses'!$J$12,10,IF($J155='Auto Responses'!$J$11,20,0)))))</f>
        <v>N/A</v>
      </c>
      <c r="P155" s="284" t="str">
        <f>IF(OR($O155='Auto Responses'!$J$5,$L155='Auto Responses'!$J$5),'Auto Responses'!$J$5,$O155*$L155)</f>
        <v>N/A</v>
      </c>
      <c r="Q155" s="284">
        <f t="shared" si="15"/>
        <v>0</v>
      </c>
      <c r="R155" s="284">
        <f t="shared" si="19"/>
        <v>0</v>
      </c>
      <c r="S155" s="284">
        <f t="shared" si="16"/>
        <v>0</v>
      </c>
      <c r="T155" s="284">
        <f t="shared" si="17"/>
        <v>1</v>
      </c>
      <c r="U155" s="284">
        <f t="shared" si="20"/>
        <v>49</v>
      </c>
      <c r="V155" s="284">
        <f t="shared" si="18"/>
        <v>49</v>
      </c>
    </row>
    <row r="156" spans="1:22" ht="55.5" customHeight="1" x14ac:dyDescent="0.2">
      <c r="A156" s="315" t="str">
        <f>Questions!$A156</f>
        <v>FIDP-06</v>
      </c>
      <c r="B156" s="315" t="str">
        <f t="shared" si="14"/>
        <v>FIDP</v>
      </c>
      <c r="C156" s="315" t="str">
        <f>VLOOKUP($A156,Questions!$A$3:$L$333,2,0)&amp;""</f>
        <v>Is authority for firewall change approval documented? Please list approver names or titles in Additional Info.</v>
      </c>
      <c r="D156" s="315" t="str">
        <f>VLOOKUP($A156,Questions!$A$3:$L$333,11,0)&amp;""</f>
        <v/>
      </c>
      <c r="E156" s="315" t="str">
        <f>VLOOKUP($A156,Questions!$A$3:$L$333,12,0)&amp;""</f>
        <v>Infrastructure</v>
      </c>
      <c r="F156" s="315" t="str">
        <f>VLOOKUP($A156,'Institution Evaluation'!$A$56:$K$345,3,0)&amp;""</f>
        <v>N/A</v>
      </c>
      <c r="G156" s="315" t="str">
        <f>VLOOKUP($A156,'Institution Evaluation'!$A$56:$K$345,7,0)&amp;""</f>
        <v>Yes</v>
      </c>
      <c r="H156" s="315" t="str">
        <f>VLOOKUP($A156,'Institution Evaluation'!$A$56:$K$345,8,0)&amp;""</f>
        <v/>
      </c>
      <c r="I156" s="315" t="str">
        <f>VLOOKUP($A156,'Institution Evaluation'!$A$56:$K$345,9,0)&amp;""</f>
        <v>Standard Importance</v>
      </c>
      <c r="J156" s="315" t="str">
        <f>VLOOKUP($A156,'Institution Evaluation'!$A$56:$K$345,10,0)&amp;""</f>
        <v/>
      </c>
      <c r="K156" s="315">
        <f>IF($I156='Auto Responses'!$J$11,20,IF($I156='Auto Responses'!$J$13,5,10))</f>
        <v>10</v>
      </c>
      <c r="L156" s="284">
        <f>IF($E156='Auto Responses'!$L$13, 'Auto Responses'!$J$5,IF(AND($D156='Auto Responses'!$J$27,$H156=""),'Auto Responses'!$J$5,IF(AND($D156='Auto Responses'!$J$27,$H156='Auto Responses'!$J$7),1,IF(AND($D156='Auto Responses'!$J$27,$H156='Auto Responses'!$J$8),0,IF(OR(AND($F156=$G156,$H156=""),$H156='Auto Responses'!$J$7),1,0)))))</f>
        <v>0</v>
      </c>
      <c r="M156" s="315" t="str">
        <f>VLOOKUP($A156,'Institution Evaluation'!$A$56:$K$345,11,0)&amp;""</f>
        <v>FALSCH</v>
      </c>
      <c r="N156" s="315">
        <f>IF($J156='Auto Responses'!$J$11,1,IF(AND($J156="",$I156='Auto Responses'!$J$11),1,0))</f>
        <v>0</v>
      </c>
      <c r="O156" s="284" t="str">
        <f>IF(OR($F$17='Auto Responses'!$J$4,$E156='Auto Responses'!$L$13,$F156='Auto Responses'!$J$5),'Auto Responses'!$J$5,IF($J156="",$K156,IF($J156='Auto Responses'!$J$13,5,IF($J156='Auto Responses'!$J$12,10,IF($J156='Auto Responses'!$J$11,20,0)))))</f>
        <v>N/A</v>
      </c>
      <c r="P156" s="284" t="str">
        <f>IF(OR($O156='Auto Responses'!$J$5,$L156='Auto Responses'!$J$5),'Auto Responses'!$J$5,$O156*$L156)</f>
        <v>N/A</v>
      </c>
      <c r="Q156" s="284">
        <f t="shared" si="15"/>
        <v>0</v>
      </c>
      <c r="R156" s="284">
        <f t="shared" si="19"/>
        <v>0</v>
      </c>
      <c r="S156" s="284">
        <f t="shared" si="16"/>
        <v>0</v>
      </c>
      <c r="T156" s="284">
        <f t="shared" si="17"/>
        <v>0</v>
      </c>
      <c r="U156" s="284">
        <f t="shared" si="20"/>
        <v>49</v>
      </c>
      <c r="V156" s="284">
        <f t="shared" si="18"/>
        <v>0</v>
      </c>
    </row>
    <row r="157" spans="1:22" ht="55.5" customHeight="1" x14ac:dyDescent="0.2">
      <c r="A157" s="315" t="str">
        <f>Questions!$A157</f>
        <v>FIDP-07</v>
      </c>
      <c r="B157" s="315" t="str">
        <f t="shared" si="14"/>
        <v>FIDP</v>
      </c>
      <c r="C157" s="315" t="str">
        <f>VLOOKUP($A157,Questions!$A$3:$L$333,2,0)&amp;""</f>
        <v>Have you implemented an intrusion prevention system (network-based)?</v>
      </c>
      <c r="D157" s="315" t="str">
        <f>VLOOKUP($A157,Questions!$A$3:$L$333,11,0)&amp;""</f>
        <v/>
      </c>
      <c r="E157" s="315" t="str">
        <f>VLOOKUP($A157,Questions!$A$3:$L$333,12,0)&amp;""</f>
        <v>Infrastructure</v>
      </c>
      <c r="F157" s="315" t="str">
        <f>VLOOKUP($A157,'Institution Evaluation'!$A$56:$K$345,3,0)&amp;""</f>
        <v>N/A</v>
      </c>
      <c r="G157" s="315" t="str">
        <f>VLOOKUP($A157,'Institution Evaluation'!$A$56:$K$345,7,0)&amp;""</f>
        <v>Yes</v>
      </c>
      <c r="H157" s="315" t="str">
        <f>VLOOKUP($A157,'Institution Evaluation'!$A$56:$K$345,8,0)&amp;""</f>
        <v/>
      </c>
      <c r="I157" s="315" t="str">
        <f>VLOOKUP($A157,'Institution Evaluation'!$A$56:$K$345,9,0)&amp;""</f>
        <v>Standard Importance</v>
      </c>
      <c r="J157" s="315" t="str">
        <f>VLOOKUP($A157,'Institution Evaluation'!$A$56:$K$345,10,0)&amp;""</f>
        <v/>
      </c>
      <c r="K157" s="315">
        <f>IF($I157='Auto Responses'!$J$11,20,IF($I157='Auto Responses'!$J$13,5,10))</f>
        <v>10</v>
      </c>
      <c r="L157" s="284">
        <f>IF($E157='Auto Responses'!$L$13, 'Auto Responses'!$J$5,IF(AND($D157='Auto Responses'!$J$27,$H157=""),'Auto Responses'!$J$5,IF(AND($D157='Auto Responses'!$J$27,$H157='Auto Responses'!$J$7),1,IF(AND($D157='Auto Responses'!$J$27,$H157='Auto Responses'!$J$8),0,IF(OR(AND($F157=$G157,$H157=""),$H157='Auto Responses'!$J$7),1,0)))))</f>
        <v>0</v>
      </c>
      <c r="M157" s="315" t="str">
        <f>VLOOKUP($A157,'Institution Evaluation'!$A$56:$K$345,11,0)&amp;""</f>
        <v>FALSCH</v>
      </c>
      <c r="N157" s="315">
        <f>IF($J157='Auto Responses'!$J$11,1,IF(AND($J157="",$I157='Auto Responses'!$J$11),1,0))</f>
        <v>0</v>
      </c>
      <c r="O157" s="284" t="str">
        <f>IF(OR($F$17='Auto Responses'!$J$4,$E157='Auto Responses'!$L$13,$F157='Auto Responses'!$J$5),'Auto Responses'!$J$5,IF($J157="",$K157,IF($J157='Auto Responses'!$J$13,5,IF($J157='Auto Responses'!$J$12,10,IF($J157='Auto Responses'!$J$11,20,0)))))</f>
        <v>N/A</v>
      </c>
      <c r="P157" s="284" t="str">
        <f>IF(OR($O157='Auto Responses'!$J$5,$L157='Auto Responses'!$J$5),'Auto Responses'!$J$5,$O157*$L157)</f>
        <v>N/A</v>
      </c>
      <c r="Q157" s="284">
        <f t="shared" si="15"/>
        <v>0</v>
      </c>
      <c r="R157" s="284">
        <f t="shared" si="19"/>
        <v>0</v>
      </c>
      <c r="S157" s="284">
        <f t="shared" si="16"/>
        <v>0</v>
      </c>
      <c r="T157" s="284">
        <f t="shared" si="17"/>
        <v>0</v>
      </c>
      <c r="U157" s="284">
        <f t="shared" si="20"/>
        <v>49</v>
      </c>
      <c r="V157" s="284">
        <f t="shared" si="18"/>
        <v>0</v>
      </c>
    </row>
    <row r="158" spans="1:22" ht="55.5" customHeight="1" x14ac:dyDescent="0.2">
      <c r="A158" s="315" t="str">
        <f>Questions!$A158</f>
        <v>FIDP-08</v>
      </c>
      <c r="B158" s="315" t="str">
        <f t="shared" si="14"/>
        <v>FIDP</v>
      </c>
      <c r="C158" s="315" t="str">
        <f>VLOOKUP($A158,Questions!$A$3:$L$333,2,0)&amp;""</f>
        <v>Do you employ host-based intrusion prevention?</v>
      </c>
      <c r="D158" s="315" t="str">
        <f>VLOOKUP($A158,Questions!$A$3:$L$333,11,0)&amp;""</f>
        <v/>
      </c>
      <c r="E158" s="315" t="str">
        <f>VLOOKUP($A158,Questions!$A$3:$L$333,12,0)&amp;""</f>
        <v>Infrastructure</v>
      </c>
      <c r="F158" s="315" t="str">
        <f>VLOOKUP($A158,'Institution Evaluation'!$A$56:$K$345,3,0)&amp;""</f>
        <v>N/A</v>
      </c>
      <c r="G158" s="315" t="str">
        <f>VLOOKUP($A158,'Institution Evaluation'!$A$56:$K$345,7,0)&amp;""</f>
        <v>Yes</v>
      </c>
      <c r="H158" s="315" t="str">
        <f>VLOOKUP($A158,'Institution Evaluation'!$A$56:$K$345,8,0)&amp;""</f>
        <v/>
      </c>
      <c r="I158" s="315" t="str">
        <f>VLOOKUP($A158,'Institution Evaluation'!$A$56:$K$345,9,0)&amp;""</f>
        <v>Standard Importance</v>
      </c>
      <c r="J158" s="315" t="str">
        <f>VLOOKUP($A158,'Institution Evaluation'!$A$56:$K$345,10,0)&amp;""</f>
        <v/>
      </c>
      <c r="K158" s="315">
        <f>IF($I158='Auto Responses'!$J$11,20,IF($I158='Auto Responses'!$J$13,5,10))</f>
        <v>10</v>
      </c>
      <c r="L158" s="284">
        <f>IF($E158='Auto Responses'!$L$13, 'Auto Responses'!$J$5,IF(AND($D158='Auto Responses'!$J$27,$H158=""),'Auto Responses'!$J$5,IF(AND($D158='Auto Responses'!$J$27,$H158='Auto Responses'!$J$7),1,IF(AND($D158='Auto Responses'!$J$27,$H158='Auto Responses'!$J$8),0,IF(OR(AND($F158=$G158,$H158=""),$H158='Auto Responses'!$J$7),1,0)))))</f>
        <v>0</v>
      </c>
      <c r="M158" s="315" t="str">
        <f>VLOOKUP($A158,'Institution Evaluation'!$A$56:$K$345,11,0)&amp;""</f>
        <v>FALSCH</v>
      </c>
      <c r="N158" s="315">
        <f>IF($J158='Auto Responses'!$J$11,1,IF(AND($J158="",$I158='Auto Responses'!$J$11),1,0))</f>
        <v>0</v>
      </c>
      <c r="O158" s="284" t="str">
        <f>IF(OR($F$17='Auto Responses'!$J$4,$E158='Auto Responses'!$L$13,$F158='Auto Responses'!$J$5),'Auto Responses'!$J$5,IF($J158="",$K158,IF($J158='Auto Responses'!$J$13,5,IF($J158='Auto Responses'!$J$12,10,IF($J158='Auto Responses'!$J$11,20,0)))))</f>
        <v>N/A</v>
      </c>
      <c r="P158" s="284" t="str">
        <f>IF(OR($O158='Auto Responses'!$J$5,$L158='Auto Responses'!$J$5),'Auto Responses'!$J$5,$O158*$L158)</f>
        <v>N/A</v>
      </c>
      <c r="Q158" s="284">
        <f t="shared" si="15"/>
        <v>0</v>
      </c>
      <c r="R158" s="284">
        <f t="shared" si="19"/>
        <v>0</v>
      </c>
      <c r="S158" s="284">
        <f t="shared" si="16"/>
        <v>0</v>
      </c>
      <c r="T158" s="284">
        <f t="shared" si="17"/>
        <v>0</v>
      </c>
      <c r="U158" s="284">
        <f t="shared" si="20"/>
        <v>49</v>
      </c>
      <c r="V158" s="284">
        <f t="shared" si="18"/>
        <v>0</v>
      </c>
    </row>
    <row r="159" spans="1:22" ht="55.5" customHeight="1" x14ac:dyDescent="0.2">
      <c r="A159" s="315" t="str">
        <f>Questions!$A159</f>
        <v>FIDP-09</v>
      </c>
      <c r="B159" s="315" t="str">
        <f t="shared" si="14"/>
        <v>FIDP</v>
      </c>
      <c r="C159" s="315" t="str">
        <f>VLOOKUP($A159,Questions!$A$3:$L$333,2,0)&amp;""</f>
        <v>Are you employing any next-generation persistent threat (NGPT) monitoring?</v>
      </c>
      <c r="D159" s="315" t="str">
        <f>VLOOKUP($A159,Questions!$A$3:$L$333,11,0)&amp;""</f>
        <v/>
      </c>
      <c r="E159" s="315" t="str">
        <f>VLOOKUP($A159,Questions!$A$3:$L$333,12,0)&amp;""</f>
        <v>Infrastructure</v>
      </c>
      <c r="F159" s="315" t="str">
        <f>VLOOKUP($A159,'Institution Evaluation'!$A$56:$K$345,3,0)&amp;""</f>
        <v>N/A</v>
      </c>
      <c r="G159" s="315" t="str">
        <f>VLOOKUP($A159,'Institution Evaluation'!$A$56:$K$345,7,0)&amp;""</f>
        <v>Yes</v>
      </c>
      <c r="H159" s="315" t="str">
        <f>VLOOKUP($A159,'Institution Evaluation'!$A$56:$K$345,8,0)&amp;""</f>
        <v/>
      </c>
      <c r="I159" s="315" t="str">
        <f>VLOOKUP($A159,'Institution Evaluation'!$A$56:$K$345,9,0)&amp;""</f>
        <v>Standard Importance</v>
      </c>
      <c r="J159" s="315" t="str">
        <f>VLOOKUP($A159,'Institution Evaluation'!$A$56:$K$345,10,0)&amp;""</f>
        <v/>
      </c>
      <c r="K159" s="315">
        <f>IF($I159='Auto Responses'!$J$11,20,IF($I159='Auto Responses'!$J$13,5,10))</f>
        <v>10</v>
      </c>
      <c r="L159" s="284">
        <f>IF($E159='Auto Responses'!$L$13, 'Auto Responses'!$J$5,IF(AND($D159='Auto Responses'!$J$27,$H159=""),'Auto Responses'!$J$5,IF(AND($D159='Auto Responses'!$J$27,$H159='Auto Responses'!$J$7),1,IF(AND($D159='Auto Responses'!$J$27,$H159='Auto Responses'!$J$8),0,IF(OR(AND($F159=$G159,$H159=""),$H159='Auto Responses'!$J$7),1,0)))))</f>
        <v>0</v>
      </c>
      <c r="M159" s="315" t="str">
        <f>VLOOKUP($A159,'Institution Evaluation'!$A$56:$K$345,11,0)&amp;""</f>
        <v>FALSCH</v>
      </c>
      <c r="N159" s="315">
        <f>IF($J159='Auto Responses'!$J$11,1,IF(AND($J159="",$I159='Auto Responses'!$J$11),1,0))</f>
        <v>0</v>
      </c>
      <c r="O159" s="284" t="str">
        <f>IF(OR($F$17='Auto Responses'!$J$4,$E159='Auto Responses'!$L$13,$F159='Auto Responses'!$J$5),'Auto Responses'!$J$5,IF($J159="",$K159,IF($J159='Auto Responses'!$J$13,5,IF($J159='Auto Responses'!$J$12,10,IF($J159='Auto Responses'!$J$11,20,0)))))</f>
        <v>N/A</v>
      </c>
      <c r="P159" s="284" t="str">
        <f>IF(OR($O159='Auto Responses'!$J$5,$L159='Auto Responses'!$J$5),'Auto Responses'!$J$5,$O159*$L159)</f>
        <v>N/A</v>
      </c>
      <c r="Q159" s="284">
        <f t="shared" si="15"/>
        <v>0</v>
      </c>
      <c r="R159" s="284">
        <f t="shared" si="19"/>
        <v>0</v>
      </c>
      <c r="S159" s="284">
        <f t="shared" si="16"/>
        <v>0</v>
      </c>
      <c r="T159" s="284">
        <f t="shared" si="17"/>
        <v>0</v>
      </c>
      <c r="U159" s="284">
        <f t="shared" si="20"/>
        <v>49</v>
      </c>
      <c r="V159" s="284">
        <f t="shared" si="18"/>
        <v>0</v>
      </c>
    </row>
    <row r="160" spans="1:22" ht="55.5" customHeight="1" x14ac:dyDescent="0.2">
      <c r="A160" s="315" t="str">
        <f>Questions!$A160</f>
        <v>FIDP-10</v>
      </c>
      <c r="B160" s="315" t="str">
        <f t="shared" si="14"/>
        <v>FIDP</v>
      </c>
      <c r="C160" s="315" t="str">
        <f>VLOOKUP($A160,Questions!$A$3:$L$333,2,0)&amp;""</f>
        <v>Is intrusion monitoring performed internally or by a third-party service?</v>
      </c>
      <c r="D160" s="315" t="str">
        <f>VLOOKUP($A160,Questions!$A$3:$L$333,11,0)&amp;""</f>
        <v/>
      </c>
      <c r="E160" s="315" t="str">
        <f>VLOOKUP($A160,Questions!$A$3:$L$333,12,0)&amp;""</f>
        <v>Not scored</v>
      </c>
      <c r="F160" s="315" t="str">
        <f>VLOOKUP($A160,'Institution Evaluation'!$A$56:$K$345,3,0)&amp;""</f>
        <v>N/A</v>
      </c>
      <c r="G160" s="315" t="str">
        <f>VLOOKUP($A160,'Institution Evaluation'!$A$56:$K$345,7,0)&amp;""</f>
        <v>Not scored</v>
      </c>
      <c r="H160" s="315" t="str">
        <f>VLOOKUP($A160,'Institution Evaluation'!$A$56:$K$345,8,0)&amp;""</f>
        <v/>
      </c>
      <c r="I160" s="315" t="str">
        <f>VLOOKUP($A160,'Institution Evaluation'!$A$56:$K$345,9,0)&amp;""</f>
        <v/>
      </c>
      <c r="J160" s="315" t="str">
        <f>VLOOKUP($A160,'Institution Evaluation'!$A$56:$K$345,10,0)&amp;""</f>
        <v/>
      </c>
      <c r="K160" s="315">
        <f>IF($I160='Auto Responses'!$J$11,20,IF($I160='Auto Responses'!$J$13,5,10))</f>
        <v>10</v>
      </c>
      <c r="L160" s="284" t="str">
        <f>IF($E160='Auto Responses'!$L$13, 'Auto Responses'!$J$5,IF(AND($D160='Auto Responses'!$J$27,$H160=""),'Auto Responses'!$J$5,IF(AND($D160='Auto Responses'!$J$27,$H160='Auto Responses'!$J$7),1,IF(AND($D160='Auto Responses'!$J$27,$H160='Auto Responses'!$J$8),0,IF(OR(AND($F160=$G160,$H160=""),$H160='Auto Responses'!$J$7),1,0)))))</f>
        <v>N/A</v>
      </c>
      <c r="M160" s="315" t="str">
        <f>VLOOKUP($A160,'Institution Evaluation'!$A$56:$K$345,11,0)&amp;""</f>
        <v>FALSCH</v>
      </c>
      <c r="N160" s="315">
        <f>IF($J160='Auto Responses'!$J$11,1,IF(AND($J160="",$I160='Auto Responses'!$J$11),1,0))</f>
        <v>0</v>
      </c>
      <c r="O160" s="284" t="str">
        <f>IF(OR($F$17='Auto Responses'!$J$4,$E160='Auto Responses'!$L$13,$F160='Auto Responses'!$J$5),'Auto Responses'!$J$5,IF($J160="",$K160,IF($J160='Auto Responses'!$J$13,5,IF($J160='Auto Responses'!$J$12,10,IF($J160='Auto Responses'!$J$11,20,0)))))</f>
        <v>N/A</v>
      </c>
      <c r="P160" s="284" t="str">
        <f>IF(OR($O160='Auto Responses'!$J$5,$L160='Auto Responses'!$J$5),'Auto Responses'!$J$5,$O160*$L160)</f>
        <v>N/A</v>
      </c>
      <c r="Q160" s="284">
        <f t="shared" si="15"/>
        <v>0</v>
      </c>
      <c r="R160" s="284">
        <f t="shared" si="19"/>
        <v>0</v>
      </c>
      <c r="S160" s="284">
        <f t="shared" si="16"/>
        <v>0</v>
      </c>
      <c r="T160" s="284">
        <f t="shared" si="17"/>
        <v>0</v>
      </c>
      <c r="U160" s="284">
        <f t="shared" si="20"/>
        <v>49</v>
      </c>
      <c r="V160" s="284">
        <f t="shared" si="18"/>
        <v>0</v>
      </c>
    </row>
    <row r="161" spans="1:22" ht="55.5" customHeight="1" x14ac:dyDescent="0.2">
      <c r="A161" s="315" t="str">
        <f>Questions!$A161</f>
        <v>FIDP-11</v>
      </c>
      <c r="B161" s="315" t="str">
        <f t="shared" si="14"/>
        <v>FIDP</v>
      </c>
      <c r="C161" s="315" t="str">
        <f>VLOOKUP($A161,Questions!$A$3:$L$333,2,0)&amp;""</f>
        <v>Do you monitor for intrusions on a 24 x 7 x 365 basis?</v>
      </c>
      <c r="D161" s="315" t="str">
        <f>VLOOKUP($A161,Questions!$A$3:$L$333,11,0)&amp;""</f>
        <v/>
      </c>
      <c r="E161" s="315" t="str">
        <f>VLOOKUP($A161,Questions!$A$3:$L$333,12,0)&amp;""</f>
        <v>Infrastructure</v>
      </c>
      <c r="F161" s="315" t="str">
        <f>VLOOKUP($A161,'Institution Evaluation'!$A$56:$K$345,3,0)&amp;""</f>
        <v>N/A</v>
      </c>
      <c r="G161" s="315" t="str">
        <f>VLOOKUP($A161,'Institution Evaluation'!$A$56:$K$345,7,0)&amp;""</f>
        <v>Yes</v>
      </c>
      <c r="H161" s="315" t="str">
        <f>VLOOKUP($A161,'Institution Evaluation'!$A$56:$K$345,8,0)&amp;""</f>
        <v/>
      </c>
      <c r="I161" s="315" t="str">
        <f>VLOOKUP($A161,'Institution Evaluation'!$A$56:$K$345,9,0)&amp;""</f>
        <v>Minor Importance</v>
      </c>
      <c r="J161" s="315" t="str">
        <f>VLOOKUP($A161,'Institution Evaluation'!$A$56:$K$345,10,0)&amp;""</f>
        <v/>
      </c>
      <c r="K161" s="315">
        <f>IF($I161='Auto Responses'!$J$11,20,IF($I161='Auto Responses'!$J$13,5,10))</f>
        <v>5</v>
      </c>
      <c r="L161" s="284">
        <f>IF($E161='Auto Responses'!$L$13, 'Auto Responses'!$J$5,IF(AND($D161='Auto Responses'!$J$27,$H161=""),'Auto Responses'!$J$5,IF(AND($D161='Auto Responses'!$J$27,$H161='Auto Responses'!$J$7),1,IF(AND($D161='Auto Responses'!$J$27,$H161='Auto Responses'!$J$8),0,IF(OR(AND($F161=$G161,$H161=""),$H161='Auto Responses'!$J$7),1,0)))))</f>
        <v>0</v>
      </c>
      <c r="M161" s="315" t="str">
        <f>VLOOKUP($A161,'Institution Evaluation'!$A$56:$K$345,11,0)&amp;""</f>
        <v>FALSCH</v>
      </c>
      <c r="N161" s="315">
        <f>IF($J161='Auto Responses'!$J$11,1,IF(AND($J161="",$I161='Auto Responses'!$J$11),1,0))</f>
        <v>0</v>
      </c>
      <c r="O161" s="284" t="str">
        <f>IF(OR($F$17='Auto Responses'!$J$4,$E161='Auto Responses'!$L$13,$F161='Auto Responses'!$J$5),'Auto Responses'!$J$5,IF($J161="",$K161,IF($J161='Auto Responses'!$J$13,5,IF($J161='Auto Responses'!$J$12,10,IF($J161='Auto Responses'!$J$11,20,0)))))</f>
        <v>N/A</v>
      </c>
      <c r="P161" s="284" t="str">
        <f>IF(OR($O161='Auto Responses'!$J$5,$L161='Auto Responses'!$J$5),'Auto Responses'!$J$5,$O161*$L161)</f>
        <v>N/A</v>
      </c>
      <c r="Q161" s="284">
        <f t="shared" si="15"/>
        <v>0</v>
      </c>
      <c r="R161" s="284">
        <f t="shared" si="19"/>
        <v>0</v>
      </c>
      <c r="S161" s="284">
        <f t="shared" si="16"/>
        <v>0</v>
      </c>
      <c r="T161" s="284">
        <f t="shared" si="17"/>
        <v>0</v>
      </c>
      <c r="U161" s="284">
        <f t="shared" si="20"/>
        <v>49</v>
      </c>
      <c r="V161" s="284">
        <f t="shared" si="18"/>
        <v>0</v>
      </c>
    </row>
    <row r="162" spans="1:22" ht="55.5" customHeight="1" x14ac:dyDescent="0.2">
      <c r="A162" s="315" t="str">
        <f>Questions!$A162</f>
        <v>PPPR-01</v>
      </c>
      <c r="B162" s="315" t="str">
        <f t="shared" si="14"/>
        <v>PPPR</v>
      </c>
      <c r="C162" s="315" t="str">
        <f>VLOOKUP($A162,Questions!$A$3:$L$333,2,0)&amp;""</f>
        <v>Do you have a documented patch management process?*</v>
      </c>
      <c r="D162" s="315" t="str">
        <f>VLOOKUP($A162,Questions!$A$3:$L$333,11,0)&amp;""</f>
        <v/>
      </c>
      <c r="E162" s="315" t="str">
        <f>VLOOKUP($A162,Questions!$A$3:$L$333,12,0)&amp;""</f>
        <v>Organization</v>
      </c>
      <c r="F162" s="315" t="str">
        <f>VLOOKUP($A162,'Institution Evaluation'!$A$56:$K$345,3,0)&amp;""</f>
        <v>Yes</v>
      </c>
      <c r="G162" s="315" t="str">
        <f>VLOOKUP($A162,'Institution Evaluation'!$A$56:$K$345,7,0)&amp;""</f>
        <v>Yes</v>
      </c>
      <c r="H162" s="315" t="str">
        <f>VLOOKUP($A162,'Institution Evaluation'!$A$56:$K$345,8,0)&amp;""</f>
        <v/>
      </c>
      <c r="I162" s="315" t="str">
        <f>VLOOKUP($A162,'Institution Evaluation'!$A$56:$K$345,9,0)&amp;""</f>
        <v>Critical Importance</v>
      </c>
      <c r="J162" s="315" t="str">
        <f>VLOOKUP($A162,'Institution Evaluation'!$A$56:$K$345,10,0)&amp;""</f>
        <v/>
      </c>
      <c r="K162" s="315">
        <f>IF($I162='Auto Responses'!$J$11,20,IF($I162='Auto Responses'!$J$13,5,10))</f>
        <v>20</v>
      </c>
      <c r="L162" s="284">
        <f>IF($E162='Auto Responses'!$L$13, 'Auto Responses'!$J$5,IF(AND($D162='Auto Responses'!$J$27,$H162=""),'Auto Responses'!$J$5,IF(AND($D162='Auto Responses'!$J$27,$H162='Auto Responses'!$J$7),1,IF(AND($D162='Auto Responses'!$J$27,$H162='Auto Responses'!$J$8),0,IF(OR(AND($F162=$G162,$H162=""),$H162='Auto Responses'!$J$7),1,0)))))</f>
        <v>1</v>
      </c>
      <c r="M162" s="315" t="str">
        <f>VLOOKUP($A162,'Institution Evaluation'!$A$56:$K$345,11,0)&amp;""</f>
        <v>FALSCH</v>
      </c>
      <c r="N162" s="315">
        <f>IF($J162='Auto Responses'!$J$11,1,IF(AND($J162="",$I162='Auto Responses'!$J$11),1,0))</f>
        <v>1</v>
      </c>
      <c r="O162" s="284">
        <f>IF(OR($E162='Auto Responses'!$L$13,$F162='Auto Responses'!$J$5),'Auto Responses'!$J$5,IF($J162="",$K162,IF($J162='Auto Responses'!$J$13,5,IF($J162='Auto Responses'!$J$12,10,IF($J162='Auto Responses'!$J$11,20,0)))))</f>
        <v>20</v>
      </c>
      <c r="P162" s="284">
        <f>IF(OR($O162='Auto Responses'!$J$5,$L162='Auto Responses'!$J$5),'Auto Responses'!$J$5,$O162*$L162)</f>
        <v>20</v>
      </c>
      <c r="Q162" s="284">
        <f t="shared" si="15"/>
        <v>0</v>
      </c>
      <c r="R162" s="284">
        <f t="shared" si="19"/>
        <v>0</v>
      </c>
      <c r="S162" s="284">
        <f t="shared" si="16"/>
        <v>0</v>
      </c>
      <c r="T162" s="284">
        <f t="shared" si="17"/>
        <v>1</v>
      </c>
      <c r="U162" s="284">
        <f t="shared" si="20"/>
        <v>50</v>
      </c>
      <c r="V162" s="284">
        <f t="shared" si="18"/>
        <v>50</v>
      </c>
    </row>
    <row r="163" spans="1:22" ht="55.5" customHeight="1" x14ac:dyDescent="0.2">
      <c r="A163" s="315" t="str">
        <f>Questions!$A163</f>
        <v>PPPR-02</v>
      </c>
      <c r="B163" s="315" t="str">
        <f t="shared" si="14"/>
        <v>PPPR</v>
      </c>
      <c r="C163" s="315" t="str">
        <f>VLOOKUP($A163,Questions!$A$3:$L$333,2,0)&amp;""</f>
        <v>Can your organization comply with institutional policies on privacy and data protection with regard to users of institutional systems, if required?*</v>
      </c>
      <c r="D163" s="315" t="str">
        <f>VLOOKUP($A163,Questions!$A$3:$L$333,11,0)&amp;""</f>
        <v/>
      </c>
      <c r="E163" s="315" t="str">
        <f>VLOOKUP($A163,Questions!$A$3:$L$333,12,0)&amp;""</f>
        <v>Organization</v>
      </c>
      <c r="F163" s="315" t="str">
        <f>VLOOKUP($A163,'Institution Evaluation'!$A$56:$K$345,3,0)&amp;""</f>
        <v>Yes</v>
      </c>
      <c r="G163" s="315" t="str">
        <f>VLOOKUP($A163,'Institution Evaluation'!$A$56:$K$345,7,0)&amp;""</f>
        <v>Yes</v>
      </c>
      <c r="H163" s="315" t="str">
        <f>VLOOKUP($A163,'Institution Evaluation'!$A$56:$K$345,8,0)&amp;""</f>
        <v/>
      </c>
      <c r="I163" s="315" t="str">
        <f>VLOOKUP($A163,'Institution Evaluation'!$A$56:$K$345,9,0)&amp;""</f>
        <v>Critical Importance</v>
      </c>
      <c r="J163" s="315" t="str">
        <f>VLOOKUP($A163,'Institution Evaluation'!$A$56:$K$345,10,0)&amp;""</f>
        <v/>
      </c>
      <c r="K163" s="315">
        <f>IF($I163='Auto Responses'!$J$11,20,IF($I163='Auto Responses'!$J$13,5,10))</f>
        <v>20</v>
      </c>
      <c r="L163" s="284">
        <f>IF($E163='Auto Responses'!$L$13, 'Auto Responses'!$J$5,IF(AND($D163='Auto Responses'!$J$27,$H163=""),'Auto Responses'!$J$5,IF(AND($D163='Auto Responses'!$J$27,$H163='Auto Responses'!$J$7),1,IF(AND($D163='Auto Responses'!$J$27,$H163='Auto Responses'!$J$8),0,IF(OR(AND($F163=$G163,$H163=""),$H163='Auto Responses'!$J$7),1,0)))))</f>
        <v>1</v>
      </c>
      <c r="M163" s="315" t="str">
        <f>VLOOKUP($A163,'Institution Evaluation'!$A$56:$K$345,11,0)&amp;""</f>
        <v>FALSCH</v>
      </c>
      <c r="N163" s="315">
        <f>IF($J163='Auto Responses'!$J$11,1,IF(AND($J163="",$I163='Auto Responses'!$J$11),1,0))</f>
        <v>1</v>
      </c>
      <c r="O163" s="284">
        <f>IF(OR($E163='Auto Responses'!$L$13,$F163='Auto Responses'!$J$5),'Auto Responses'!$J$5,IF($J163="",$K163,IF($J163='Auto Responses'!$J$13,5,IF($J163='Auto Responses'!$J$12,10,IF($J163='Auto Responses'!$J$11,20,0)))))</f>
        <v>20</v>
      </c>
      <c r="P163" s="284">
        <f>IF(OR($O163='Auto Responses'!$J$5,$L163='Auto Responses'!$J$5),'Auto Responses'!$J$5,$O163*$L163)</f>
        <v>20</v>
      </c>
      <c r="Q163" s="284">
        <f t="shared" si="15"/>
        <v>0</v>
      </c>
      <c r="R163" s="284">
        <f t="shared" si="19"/>
        <v>0</v>
      </c>
      <c r="S163" s="284">
        <f t="shared" si="16"/>
        <v>0</v>
      </c>
      <c r="T163" s="284">
        <f t="shared" si="17"/>
        <v>1</v>
      </c>
      <c r="U163" s="284">
        <f t="shared" si="20"/>
        <v>51</v>
      </c>
      <c r="V163" s="284">
        <f t="shared" si="18"/>
        <v>51</v>
      </c>
    </row>
    <row r="164" spans="1:22" ht="55.5" customHeight="1" x14ac:dyDescent="0.2">
      <c r="A164" s="315" t="str">
        <f>Questions!$A164</f>
        <v>PPPR-03</v>
      </c>
      <c r="B164" s="315" t="str">
        <f t="shared" si="14"/>
        <v>PPPR</v>
      </c>
      <c r="C164" s="315" t="str">
        <f>VLOOKUP($A164,Questions!$A$3:$L$333,2,0)&amp;""</f>
        <v>Is your company subject to the institution's geographic region's laws and regulations?*</v>
      </c>
      <c r="D164" s="315" t="str">
        <f>VLOOKUP($A164,Questions!$A$3:$L$333,11,0)&amp;""</f>
        <v/>
      </c>
      <c r="E164" s="315" t="str">
        <f>VLOOKUP($A164,Questions!$A$3:$L$333,12,0)&amp;""</f>
        <v>Organization</v>
      </c>
      <c r="F164" s="315" t="str">
        <f>VLOOKUP($A164,'Institution Evaluation'!$A$56:$K$345,3,0)&amp;""</f>
        <v>Yes</v>
      </c>
      <c r="G164" s="315" t="str">
        <f>VLOOKUP($A164,'Institution Evaluation'!$A$56:$K$345,7,0)&amp;""</f>
        <v>Yes</v>
      </c>
      <c r="H164" s="315" t="str">
        <f>VLOOKUP($A164,'Institution Evaluation'!$A$56:$K$345,8,0)&amp;""</f>
        <v/>
      </c>
      <c r="I164" s="315" t="str">
        <f>VLOOKUP($A164,'Institution Evaluation'!$A$56:$K$345,9,0)&amp;""</f>
        <v>Critical Importance</v>
      </c>
      <c r="J164" s="315" t="str">
        <f>VLOOKUP($A164,'Institution Evaluation'!$A$56:$K$345,10,0)&amp;""</f>
        <v/>
      </c>
      <c r="K164" s="315">
        <f>IF($I164='Auto Responses'!$J$11,20,IF($I164='Auto Responses'!$J$13,5,10))</f>
        <v>20</v>
      </c>
      <c r="L164" s="284">
        <f>IF($E164='Auto Responses'!$L$13, 'Auto Responses'!$J$5,IF(AND($D164='Auto Responses'!$J$27,$H164=""),'Auto Responses'!$J$5,IF(AND($D164='Auto Responses'!$J$27,$H164='Auto Responses'!$J$7),1,IF(AND($D164='Auto Responses'!$J$27,$H164='Auto Responses'!$J$8),0,IF(OR(AND($F164=$G164,$H164=""),$H164='Auto Responses'!$J$7),1,0)))))</f>
        <v>1</v>
      </c>
      <c r="M164" s="315" t="str">
        <f>VLOOKUP($A164,'Institution Evaluation'!$A$56:$K$345,11,0)&amp;""</f>
        <v>FALSCH</v>
      </c>
      <c r="N164" s="315">
        <f>IF($J164='Auto Responses'!$J$11,1,IF(AND($J164="",$I164='Auto Responses'!$J$11),1,0))</f>
        <v>1</v>
      </c>
      <c r="O164" s="284">
        <f>IF(OR($E164='Auto Responses'!$L$13,$F164='Auto Responses'!$J$5),'Auto Responses'!$J$5,IF($J164="",$K164,IF($J164='Auto Responses'!$J$13,5,IF($J164='Auto Responses'!$J$12,10,IF($J164='Auto Responses'!$J$11,20,0)))))</f>
        <v>20</v>
      </c>
      <c r="P164" s="284">
        <f>IF(OR($O164='Auto Responses'!$J$5,$L164='Auto Responses'!$J$5),'Auto Responses'!$J$5,$O164*$L164)</f>
        <v>20</v>
      </c>
      <c r="Q164" s="284">
        <f t="shared" si="15"/>
        <v>0</v>
      </c>
      <c r="R164" s="284">
        <f t="shared" si="19"/>
        <v>0</v>
      </c>
      <c r="S164" s="284">
        <f t="shared" si="16"/>
        <v>0</v>
      </c>
      <c r="T164" s="284">
        <f t="shared" si="17"/>
        <v>1</v>
      </c>
      <c r="U164" s="284">
        <f t="shared" si="20"/>
        <v>52</v>
      </c>
      <c r="V164" s="284">
        <f t="shared" si="18"/>
        <v>52</v>
      </c>
    </row>
    <row r="165" spans="1:22" ht="55.5" customHeight="1" x14ac:dyDescent="0.2">
      <c r="A165" s="315" t="str">
        <f>Questions!$A165</f>
        <v>PPPR-04</v>
      </c>
      <c r="B165" s="315" t="str">
        <f t="shared" si="14"/>
        <v>PPPR</v>
      </c>
      <c r="C165" s="315" t="str">
        <f>VLOOKUP($A165,Questions!$A$3:$L$333,2,0)&amp;""</f>
        <v>Can you accommodate encryption requirements using open standards?</v>
      </c>
      <c r="D165" s="315" t="str">
        <f>VLOOKUP($A165,Questions!$A$3:$L$333,11,0)&amp;""</f>
        <v/>
      </c>
      <c r="E165" s="315" t="str">
        <f>VLOOKUP($A165,Questions!$A$3:$L$333,12,0)&amp;""</f>
        <v>Organization</v>
      </c>
      <c r="F165" s="315" t="str">
        <f>VLOOKUP($A165,'Institution Evaluation'!$A$56:$K$345,3,0)&amp;""</f>
        <v>Yes</v>
      </c>
      <c r="G165" s="315" t="str">
        <f>VLOOKUP($A165,'Institution Evaluation'!$A$56:$K$345,7,0)&amp;""</f>
        <v>Yes</v>
      </c>
      <c r="H165" s="315" t="str">
        <f>VLOOKUP($A165,'Institution Evaluation'!$A$56:$K$345,8,0)&amp;""</f>
        <v/>
      </c>
      <c r="I165" s="315" t="str">
        <f>VLOOKUP($A165,'Institution Evaluation'!$A$56:$K$345,9,0)&amp;""</f>
        <v>Standard Importance</v>
      </c>
      <c r="J165" s="315" t="str">
        <f>VLOOKUP($A165,'Institution Evaluation'!$A$56:$K$345,10,0)&amp;""</f>
        <v/>
      </c>
      <c r="K165" s="315">
        <f>IF($I165='Auto Responses'!$J$11,20,IF($I165='Auto Responses'!$J$13,5,10))</f>
        <v>10</v>
      </c>
      <c r="L165" s="284">
        <f>IF($E165='Auto Responses'!$L$13, 'Auto Responses'!$J$5,IF(AND($D165='Auto Responses'!$J$27,$H165=""),'Auto Responses'!$J$5,IF(AND($D165='Auto Responses'!$J$27,$H165='Auto Responses'!$J$7),1,IF(AND($D165='Auto Responses'!$J$27,$H165='Auto Responses'!$J$8),0,IF(OR(AND($F165=$G165,$H165=""),$H165='Auto Responses'!$J$7),1,0)))))</f>
        <v>1</v>
      </c>
      <c r="M165" s="315" t="str">
        <f>VLOOKUP($A165,'Institution Evaluation'!$A$56:$K$345,11,0)&amp;""</f>
        <v>FALSCH</v>
      </c>
      <c r="N165" s="315">
        <f>IF($J165='Auto Responses'!$J$11,1,IF(AND($J165="",$I165='Auto Responses'!$J$11),1,0))</f>
        <v>0</v>
      </c>
      <c r="O165" s="284">
        <f>IF(OR($E165='Auto Responses'!$L$13,$F165='Auto Responses'!$J$5),'Auto Responses'!$J$5,IF($J165="",$K165,IF($J165='Auto Responses'!$J$13,5,IF($J165='Auto Responses'!$J$12,10,IF($J165='Auto Responses'!$J$11,20,0)))))</f>
        <v>10</v>
      </c>
      <c r="P165" s="284">
        <f>IF(OR($O165='Auto Responses'!$J$5,$L165='Auto Responses'!$J$5),'Auto Responses'!$J$5,$O165*$L165)</f>
        <v>10</v>
      </c>
      <c r="Q165" s="284">
        <f t="shared" si="15"/>
        <v>0</v>
      </c>
      <c r="R165" s="284">
        <f t="shared" si="19"/>
        <v>0</v>
      </c>
      <c r="S165" s="284">
        <f t="shared" si="16"/>
        <v>0</v>
      </c>
      <c r="T165" s="284">
        <f t="shared" si="17"/>
        <v>0</v>
      </c>
      <c r="U165" s="284">
        <f t="shared" si="20"/>
        <v>52</v>
      </c>
      <c r="V165" s="284">
        <f t="shared" si="18"/>
        <v>0</v>
      </c>
    </row>
    <row r="166" spans="1:22" ht="55.5" customHeight="1" x14ac:dyDescent="0.2">
      <c r="A166" s="315" t="str">
        <f>Questions!$A166</f>
        <v>PPPR-05</v>
      </c>
      <c r="B166" s="315" t="str">
        <f t="shared" si="14"/>
        <v>PPPR</v>
      </c>
      <c r="C166" s="315" t="str">
        <f>VLOOKUP($A166,Questions!$A$3:$L$333,2,0)&amp;""</f>
        <v>Do you have a documented systems development life cycle (SDLC)?</v>
      </c>
      <c r="D166" s="315" t="str">
        <f>VLOOKUP($A166,Questions!$A$3:$L$333,11,0)&amp;""</f>
        <v/>
      </c>
      <c r="E166" s="315" t="str">
        <f>VLOOKUP($A166,Questions!$A$3:$L$333,12,0)&amp;""</f>
        <v>Organization</v>
      </c>
      <c r="F166" s="315" t="str">
        <f>VLOOKUP($A166,'Institution Evaluation'!$A$56:$K$345,3,0)&amp;""</f>
        <v>No</v>
      </c>
      <c r="G166" s="315" t="str">
        <f>VLOOKUP($A166,'Institution Evaluation'!$A$56:$K$345,7,0)&amp;""</f>
        <v>Yes</v>
      </c>
      <c r="H166" s="315" t="str">
        <f>VLOOKUP($A166,'Institution Evaluation'!$A$56:$K$345,8,0)&amp;""</f>
        <v/>
      </c>
      <c r="I166" s="315" t="str">
        <f>VLOOKUP($A166,'Institution Evaluation'!$A$56:$K$345,9,0)&amp;""</f>
        <v>Standard Importance</v>
      </c>
      <c r="J166" s="315" t="str">
        <f>VLOOKUP($A166,'Institution Evaluation'!$A$56:$K$345,10,0)&amp;""</f>
        <v/>
      </c>
      <c r="K166" s="315">
        <f>IF($I166='Auto Responses'!$J$11,20,IF($I166='Auto Responses'!$J$13,5,10))</f>
        <v>10</v>
      </c>
      <c r="L166" s="284">
        <f>IF($E166='Auto Responses'!$L$13, 'Auto Responses'!$J$5,IF(AND($D166='Auto Responses'!$J$27,$H166=""),'Auto Responses'!$J$5,IF(AND($D166='Auto Responses'!$J$27,$H166='Auto Responses'!$J$7),1,IF(AND($D166='Auto Responses'!$J$27,$H166='Auto Responses'!$J$8),0,IF(OR(AND($F166=$G166,$H166=""),$H166='Auto Responses'!$J$7),1,0)))))</f>
        <v>0</v>
      </c>
      <c r="M166" s="315" t="str">
        <f>VLOOKUP($A166,'Institution Evaluation'!$A$56:$K$345,11,0)&amp;""</f>
        <v>FALSCH</v>
      </c>
      <c r="N166" s="315">
        <f>IF($J166='Auto Responses'!$J$11,1,IF(AND($J166="",$I166='Auto Responses'!$J$11),1,0))</f>
        <v>0</v>
      </c>
      <c r="O166" s="284">
        <f>IF(OR($E166='Auto Responses'!$L$13,$F166='Auto Responses'!$J$5),'Auto Responses'!$J$5,IF($J166="",$K166,IF($J166='Auto Responses'!$J$13,5,IF($J166='Auto Responses'!$J$12,10,IF($J166='Auto Responses'!$J$11,20,0)))))</f>
        <v>10</v>
      </c>
      <c r="P166" s="284">
        <f>IF(OR($O166='Auto Responses'!$J$5,$L166='Auto Responses'!$J$5),'Auto Responses'!$J$5,$O166*$L166)</f>
        <v>0</v>
      </c>
      <c r="Q166" s="284">
        <f t="shared" si="15"/>
        <v>0</v>
      </c>
      <c r="R166" s="284">
        <f t="shared" si="19"/>
        <v>0</v>
      </c>
      <c r="S166" s="284">
        <f t="shared" si="16"/>
        <v>0</v>
      </c>
      <c r="T166" s="284">
        <f t="shared" si="17"/>
        <v>0</v>
      </c>
      <c r="U166" s="284">
        <f t="shared" si="20"/>
        <v>52</v>
      </c>
      <c r="V166" s="284">
        <f t="shared" si="18"/>
        <v>0</v>
      </c>
    </row>
    <row r="167" spans="1:22" ht="55.5" customHeight="1" x14ac:dyDescent="0.2">
      <c r="A167" s="315" t="str">
        <f>Questions!$A167</f>
        <v>PPPR-06</v>
      </c>
      <c r="B167" s="315" t="str">
        <f t="shared" si="14"/>
        <v>PPPR</v>
      </c>
      <c r="C167" s="315" t="str">
        <f>VLOOKUP($A167,Questions!$A$3:$L$333,2,0)&amp;""</f>
        <v>Do you perform background screenings or multi-state background checks on all employees prior to their first day of work?</v>
      </c>
      <c r="D167" s="315" t="str">
        <f>VLOOKUP($A167,Questions!$A$3:$L$333,11,0)&amp;""</f>
        <v/>
      </c>
      <c r="E167" s="315" t="str">
        <f>VLOOKUP($A167,Questions!$A$3:$L$333,12,0)&amp;""</f>
        <v>Organization</v>
      </c>
      <c r="F167" s="315" t="str">
        <f>VLOOKUP($A167,'Institution Evaluation'!$A$56:$K$345,3,0)&amp;""</f>
        <v>No</v>
      </c>
      <c r="G167" s="315" t="str">
        <f>VLOOKUP($A167,'Institution Evaluation'!$A$56:$K$345,7,0)&amp;""</f>
        <v>Yes</v>
      </c>
      <c r="H167" s="315" t="str">
        <f>VLOOKUP($A167,'Institution Evaluation'!$A$56:$K$345,8,0)&amp;""</f>
        <v/>
      </c>
      <c r="I167" s="315" t="str">
        <f>VLOOKUP($A167,'Institution Evaluation'!$A$56:$K$345,9,0)&amp;""</f>
        <v>Standard Importance</v>
      </c>
      <c r="J167" s="315" t="str">
        <f>VLOOKUP($A167,'Institution Evaluation'!$A$56:$K$345,10,0)&amp;""</f>
        <v/>
      </c>
      <c r="K167" s="315">
        <f>IF($I167='Auto Responses'!$J$11,20,IF($I167='Auto Responses'!$J$13,5,10))</f>
        <v>10</v>
      </c>
      <c r="L167" s="284">
        <f>IF($E167='Auto Responses'!$L$13, 'Auto Responses'!$J$5,IF(AND($D167='Auto Responses'!$J$27,$H167=""),'Auto Responses'!$J$5,IF(AND($D167='Auto Responses'!$J$27,$H167='Auto Responses'!$J$7),1,IF(AND($D167='Auto Responses'!$J$27,$H167='Auto Responses'!$J$8),0,IF(OR(AND($F167=$G167,$H167=""),$H167='Auto Responses'!$J$7),1,0)))))</f>
        <v>0</v>
      </c>
      <c r="M167" s="315" t="str">
        <f>VLOOKUP($A167,'Institution Evaluation'!$A$56:$K$345,11,0)&amp;""</f>
        <v>FALSCH</v>
      </c>
      <c r="N167" s="315">
        <f>IF($J167='Auto Responses'!$J$11,1,IF(AND($J167="",$I167='Auto Responses'!$J$11),1,0))</f>
        <v>0</v>
      </c>
      <c r="O167" s="284">
        <f>IF(OR($E167='Auto Responses'!$L$13,$F167='Auto Responses'!$J$5),'Auto Responses'!$J$5,IF($J167="",$K167,IF($J167='Auto Responses'!$J$13,5,IF($J167='Auto Responses'!$J$12,10,IF($J167='Auto Responses'!$J$11,20,0)))))</f>
        <v>10</v>
      </c>
      <c r="P167" s="284">
        <f>IF(OR($O167='Auto Responses'!$J$5,$L167='Auto Responses'!$J$5),'Auto Responses'!$J$5,$O167*$L167)</f>
        <v>0</v>
      </c>
      <c r="Q167" s="284">
        <f t="shared" si="15"/>
        <v>0</v>
      </c>
      <c r="R167" s="284">
        <f t="shared" si="19"/>
        <v>0</v>
      </c>
      <c r="S167" s="284">
        <f t="shared" si="16"/>
        <v>0</v>
      </c>
      <c r="T167" s="284">
        <f t="shared" si="17"/>
        <v>0</v>
      </c>
      <c r="U167" s="284">
        <f t="shared" si="20"/>
        <v>52</v>
      </c>
      <c r="V167" s="284">
        <f t="shared" si="18"/>
        <v>0</v>
      </c>
    </row>
    <row r="168" spans="1:22" ht="55.5" customHeight="1" x14ac:dyDescent="0.2">
      <c r="A168" s="315" t="str">
        <f>Questions!$A168</f>
        <v>PPPR-07</v>
      </c>
      <c r="B168" s="315" t="str">
        <f t="shared" si="14"/>
        <v>PPPR</v>
      </c>
      <c r="C168" s="315" t="str">
        <f>VLOOKUP($A168,Questions!$A$3:$L$333,2,0)&amp;""</f>
        <v>Do you require new employees to fill out agreements and review policies?</v>
      </c>
      <c r="D168" s="315" t="str">
        <f>VLOOKUP($A168,Questions!$A$3:$L$333,11,0)&amp;""</f>
        <v/>
      </c>
      <c r="E168" s="315" t="str">
        <f>VLOOKUP($A168,Questions!$A$3:$L$333,12,0)&amp;""</f>
        <v>Organization</v>
      </c>
      <c r="F168" s="315" t="str">
        <f>VLOOKUP($A168,'Institution Evaluation'!$A$56:$K$345,3,0)&amp;""</f>
        <v>No</v>
      </c>
      <c r="G168" s="315" t="str">
        <f>VLOOKUP($A168,'Institution Evaluation'!$A$56:$K$345,7,0)&amp;""</f>
        <v>Yes</v>
      </c>
      <c r="H168" s="315" t="str">
        <f>VLOOKUP($A168,'Institution Evaluation'!$A$56:$K$345,8,0)&amp;""</f>
        <v/>
      </c>
      <c r="I168" s="315" t="str">
        <f>VLOOKUP($A168,'Institution Evaluation'!$A$56:$K$345,9,0)&amp;""</f>
        <v>Standard Importance</v>
      </c>
      <c r="J168" s="315" t="str">
        <f>VLOOKUP($A168,'Institution Evaluation'!$A$56:$K$345,10,0)&amp;""</f>
        <v/>
      </c>
      <c r="K168" s="315">
        <f>IF($I168='Auto Responses'!$J$11,20,IF($I168='Auto Responses'!$J$13,5,10))</f>
        <v>10</v>
      </c>
      <c r="L168" s="284">
        <f>IF($E168='Auto Responses'!$L$13, 'Auto Responses'!$J$5,IF(AND($D168='Auto Responses'!$J$27,$H168=""),'Auto Responses'!$J$5,IF(AND($D168='Auto Responses'!$J$27,$H168='Auto Responses'!$J$7),1,IF(AND($D168='Auto Responses'!$J$27,$H168='Auto Responses'!$J$8),0,IF(OR(AND($F168=$G168,$H168=""),$H168='Auto Responses'!$J$7),1,0)))))</f>
        <v>0</v>
      </c>
      <c r="M168" s="315" t="str">
        <f>VLOOKUP($A168,'Institution Evaluation'!$A$56:$K$345,11,0)&amp;""</f>
        <v>FALSCH</v>
      </c>
      <c r="N168" s="315">
        <f>IF($J168='Auto Responses'!$J$11,1,IF(AND($J168="",$I168='Auto Responses'!$J$11),1,0))</f>
        <v>0</v>
      </c>
      <c r="O168" s="284">
        <f>IF(OR($E168='Auto Responses'!$L$13,$F168='Auto Responses'!$J$5),'Auto Responses'!$J$5,IF($J168="",$K168,IF($J168='Auto Responses'!$J$13,5,IF($J168='Auto Responses'!$J$12,10,IF($J168='Auto Responses'!$J$11,20,0)))))</f>
        <v>10</v>
      </c>
      <c r="P168" s="284">
        <f>IF(OR($O168='Auto Responses'!$J$5,$L168='Auto Responses'!$J$5),'Auto Responses'!$J$5,$O168*$L168)</f>
        <v>0</v>
      </c>
      <c r="Q168" s="284">
        <f t="shared" si="15"/>
        <v>0</v>
      </c>
      <c r="R168" s="284">
        <f t="shared" si="19"/>
        <v>0</v>
      </c>
      <c r="S168" s="284">
        <f t="shared" si="16"/>
        <v>0</v>
      </c>
      <c r="T168" s="284">
        <f t="shared" si="17"/>
        <v>0</v>
      </c>
      <c r="U168" s="284">
        <f t="shared" si="20"/>
        <v>52</v>
      </c>
      <c r="V168" s="284">
        <f t="shared" si="18"/>
        <v>0</v>
      </c>
    </row>
    <row r="169" spans="1:22" ht="55.5" customHeight="1" x14ac:dyDescent="0.2">
      <c r="A169" s="315" t="str">
        <f>Questions!$A169</f>
        <v>PPPR-08</v>
      </c>
      <c r="B169" s="315" t="str">
        <f t="shared" si="14"/>
        <v>PPPR</v>
      </c>
      <c r="C169" s="315" t="str">
        <f>VLOOKUP($A169,Questions!$A$3:$L$333,2,0)&amp;""</f>
        <v>Do you have a documented information security policy?</v>
      </c>
      <c r="D169" s="315" t="str">
        <f>VLOOKUP($A169,Questions!$A$3:$L$333,11,0)&amp;""</f>
        <v/>
      </c>
      <c r="E169" s="315" t="str">
        <f>VLOOKUP($A169,Questions!$A$3:$L$333,12,0)&amp;""</f>
        <v>Organization</v>
      </c>
      <c r="F169" s="315" t="str">
        <f>VLOOKUP($A169,'Institution Evaluation'!$A$56:$K$345,3,0)&amp;""</f>
        <v>No</v>
      </c>
      <c r="G169" s="315" t="str">
        <f>VLOOKUP($A169,'Institution Evaluation'!$A$56:$K$345,7,0)&amp;""</f>
        <v>Yes</v>
      </c>
      <c r="H169" s="315" t="str">
        <f>VLOOKUP($A169,'Institution Evaluation'!$A$56:$K$345,8,0)&amp;""</f>
        <v/>
      </c>
      <c r="I169" s="315" t="str">
        <f>VLOOKUP($A169,'Institution Evaluation'!$A$56:$K$345,9,0)&amp;""</f>
        <v>Standard Importance</v>
      </c>
      <c r="J169" s="315" t="str">
        <f>VLOOKUP($A169,'Institution Evaluation'!$A$56:$K$345,10,0)&amp;""</f>
        <v/>
      </c>
      <c r="K169" s="315">
        <f>IF($I169='Auto Responses'!$J$11,20,IF($I169='Auto Responses'!$J$13,5,10))</f>
        <v>10</v>
      </c>
      <c r="L169" s="284">
        <f>IF($E169='Auto Responses'!$L$13, 'Auto Responses'!$J$5,IF(AND($D169='Auto Responses'!$J$27,$H169=""),'Auto Responses'!$J$5,IF(AND($D169='Auto Responses'!$J$27,$H169='Auto Responses'!$J$7),1,IF(AND($D169='Auto Responses'!$J$27,$H169='Auto Responses'!$J$8),0,IF(OR(AND($F169=$G169,$H169=""),$H169='Auto Responses'!$J$7),1,0)))))</f>
        <v>0</v>
      </c>
      <c r="M169" s="315" t="str">
        <f>VLOOKUP($A169,'Institution Evaluation'!$A$56:$K$345,11,0)&amp;""</f>
        <v>FALSCH</v>
      </c>
      <c r="N169" s="315">
        <f>IF($J169='Auto Responses'!$J$11,1,IF(AND($J169="",$I169='Auto Responses'!$J$11),1,0))</f>
        <v>0</v>
      </c>
      <c r="O169" s="284">
        <f>IF(OR($E169='Auto Responses'!$L$13,$F169='Auto Responses'!$J$5),'Auto Responses'!$J$5,IF($J169="",$K169,IF($J169='Auto Responses'!$J$13,5,IF($J169='Auto Responses'!$J$12,10,IF($J169='Auto Responses'!$J$11,20,0)))))</f>
        <v>10</v>
      </c>
      <c r="P169" s="284">
        <f>IF(OR($O169='Auto Responses'!$J$5,$L169='Auto Responses'!$J$5),'Auto Responses'!$J$5,$O169*$L169)</f>
        <v>0</v>
      </c>
      <c r="Q169" s="284">
        <f t="shared" si="15"/>
        <v>0</v>
      </c>
      <c r="R169" s="284">
        <f t="shared" si="19"/>
        <v>0</v>
      </c>
      <c r="S169" s="284">
        <f t="shared" si="16"/>
        <v>0</v>
      </c>
      <c r="T169" s="284">
        <f t="shared" si="17"/>
        <v>0</v>
      </c>
      <c r="U169" s="284">
        <f t="shared" si="20"/>
        <v>52</v>
      </c>
      <c r="V169" s="284">
        <f t="shared" si="18"/>
        <v>0</v>
      </c>
    </row>
    <row r="170" spans="1:22" ht="55.5" customHeight="1" x14ac:dyDescent="0.2">
      <c r="A170" s="315" t="str">
        <f>Questions!$A170</f>
        <v>PPPR-09</v>
      </c>
      <c r="B170" s="315" t="str">
        <f t="shared" si="14"/>
        <v>PPPR</v>
      </c>
      <c r="C170" s="315" t="str">
        <f>VLOOKUP($A170,Questions!$A$3:$L$333,2,0)&amp;""</f>
        <v>Are information security principles designed into the product lifecycle?</v>
      </c>
      <c r="D170" s="315" t="str">
        <f>VLOOKUP($A170,Questions!$A$3:$L$333,11,0)&amp;""</f>
        <v/>
      </c>
      <c r="E170" s="315" t="str">
        <f>VLOOKUP($A170,Questions!$A$3:$L$333,12,0)&amp;""</f>
        <v>Organization</v>
      </c>
      <c r="F170" s="315" t="str">
        <f>VLOOKUP($A170,'Institution Evaluation'!$A$56:$K$345,3,0)&amp;""</f>
        <v>Yes</v>
      </c>
      <c r="G170" s="315" t="str">
        <f>VLOOKUP($A170,'Institution Evaluation'!$A$56:$K$345,7,0)&amp;""</f>
        <v>Yes</v>
      </c>
      <c r="H170" s="315" t="str">
        <f>VLOOKUP($A170,'Institution Evaluation'!$A$56:$K$345,8,0)&amp;""</f>
        <v/>
      </c>
      <c r="I170" s="315" t="str">
        <f>VLOOKUP($A170,'Institution Evaluation'!$A$56:$K$345,9,0)&amp;""</f>
        <v>Minor Importance</v>
      </c>
      <c r="J170" s="315" t="str">
        <f>VLOOKUP($A170,'Institution Evaluation'!$A$56:$K$345,10,0)&amp;""</f>
        <v/>
      </c>
      <c r="K170" s="315">
        <f>IF($I170='Auto Responses'!$J$11,20,IF($I170='Auto Responses'!$J$13,5,10))</f>
        <v>5</v>
      </c>
      <c r="L170" s="284">
        <f>IF($E170='Auto Responses'!$L$13, 'Auto Responses'!$J$5,IF(AND($D170='Auto Responses'!$J$27,$H170=""),'Auto Responses'!$J$5,IF(AND($D170='Auto Responses'!$J$27,$H170='Auto Responses'!$J$7),1,IF(AND($D170='Auto Responses'!$J$27,$H170='Auto Responses'!$J$8),0,IF(OR(AND($F170=$G170,$H170=""),$H170='Auto Responses'!$J$7),1,0)))))</f>
        <v>1</v>
      </c>
      <c r="M170" s="315" t="str">
        <f>VLOOKUP($A170,'Institution Evaluation'!$A$56:$K$345,11,0)&amp;""</f>
        <v>FALSCH</v>
      </c>
      <c r="N170" s="315">
        <f>IF($J170='Auto Responses'!$J$11,1,IF(AND($J170="",$I170='Auto Responses'!$J$11),1,0))</f>
        <v>0</v>
      </c>
      <c r="O170" s="284">
        <f>IF(OR($E170='Auto Responses'!$L$13,$F170='Auto Responses'!$J$5),'Auto Responses'!$J$5,IF($J170="",$K170,IF($J170='Auto Responses'!$J$13,5,IF($J170='Auto Responses'!$J$12,10,IF($J170='Auto Responses'!$J$11,20,0)))))</f>
        <v>5</v>
      </c>
      <c r="P170" s="284">
        <f>IF(OR($O170='Auto Responses'!$J$5,$L170='Auto Responses'!$J$5),'Auto Responses'!$J$5,$O170*$L170)</f>
        <v>5</v>
      </c>
      <c r="Q170" s="284">
        <f t="shared" si="15"/>
        <v>0</v>
      </c>
      <c r="R170" s="284">
        <f t="shared" si="19"/>
        <v>0</v>
      </c>
      <c r="S170" s="284">
        <f t="shared" si="16"/>
        <v>0</v>
      </c>
      <c r="T170" s="284">
        <f t="shared" si="17"/>
        <v>0</v>
      </c>
      <c r="U170" s="284">
        <f t="shared" si="20"/>
        <v>52</v>
      </c>
      <c r="V170" s="284">
        <f t="shared" si="18"/>
        <v>0</v>
      </c>
    </row>
    <row r="171" spans="1:22" ht="55.5" customHeight="1" x14ac:dyDescent="0.2">
      <c r="A171" s="315" t="str">
        <f>Questions!$A171</f>
        <v>PPPR-10</v>
      </c>
      <c r="B171" s="315" t="str">
        <f t="shared" si="14"/>
        <v>PPPR</v>
      </c>
      <c r="C171" s="315" t="str">
        <f>VLOOKUP($A171,Questions!$A$3:$L$333,2,0)&amp;""</f>
        <v>Will you comply with applicable breach notification laws?</v>
      </c>
      <c r="D171" s="315" t="str">
        <f>VLOOKUP($A171,Questions!$A$3:$L$333,11,0)&amp;""</f>
        <v/>
      </c>
      <c r="E171" s="315" t="str">
        <f>VLOOKUP($A171,Questions!$A$3:$L$333,12,0)&amp;""</f>
        <v>Organization</v>
      </c>
      <c r="F171" s="315" t="str">
        <f>VLOOKUP($A171,'Institution Evaluation'!$A$56:$K$345,3,0)&amp;""</f>
        <v>Yes</v>
      </c>
      <c r="G171" s="315" t="str">
        <f>VLOOKUP($A171,'Institution Evaluation'!$A$56:$K$345,7,0)&amp;""</f>
        <v>Yes</v>
      </c>
      <c r="H171" s="315" t="str">
        <f>VLOOKUP($A171,'Institution Evaluation'!$A$56:$K$345,8,0)&amp;""</f>
        <v/>
      </c>
      <c r="I171" s="315" t="str">
        <f>VLOOKUP($A171,'Institution Evaluation'!$A$56:$K$345,9,0)&amp;""</f>
        <v>Minor Importance</v>
      </c>
      <c r="J171" s="315" t="str">
        <f>VLOOKUP($A171,'Institution Evaluation'!$A$56:$K$345,10,0)&amp;""</f>
        <v/>
      </c>
      <c r="K171" s="315">
        <f>IF($I171='Auto Responses'!$J$11,20,IF($I171='Auto Responses'!$J$13,5,10))</f>
        <v>5</v>
      </c>
      <c r="L171" s="284">
        <f>IF($E171='Auto Responses'!$L$13, 'Auto Responses'!$J$5,IF(AND($D171='Auto Responses'!$J$27,$H171=""),'Auto Responses'!$J$5,IF(AND($D171='Auto Responses'!$J$27,$H171='Auto Responses'!$J$7),1,IF(AND($D171='Auto Responses'!$J$27,$H171='Auto Responses'!$J$8),0,IF(OR(AND($F171=$G171,$H171=""),$H171='Auto Responses'!$J$7),1,0)))))</f>
        <v>1</v>
      </c>
      <c r="M171" s="315" t="str">
        <f>VLOOKUP($A171,'Institution Evaluation'!$A$56:$K$345,11,0)&amp;""</f>
        <v>FALSCH</v>
      </c>
      <c r="N171" s="315">
        <f>IF($J171='Auto Responses'!$J$11,1,IF(AND($J171="",$I171='Auto Responses'!$J$11),1,0))</f>
        <v>0</v>
      </c>
      <c r="O171" s="284">
        <f>IF(OR($E171='Auto Responses'!$L$13,$F171='Auto Responses'!$J$5),'Auto Responses'!$J$5,IF($J171="",$K171,IF($J171='Auto Responses'!$J$13,5,IF($J171='Auto Responses'!$J$12,10,IF($J171='Auto Responses'!$J$11,20,0)))))</f>
        <v>5</v>
      </c>
      <c r="P171" s="284">
        <f>IF(OR($O171='Auto Responses'!$J$5,$L171='Auto Responses'!$J$5),'Auto Responses'!$J$5,$O171*$L171)</f>
        <v>5</v>
      </c>
      <c r="Q171" s="284">
        <f t="shared" si="15"/>
        <v>0</v>
      </c>
      <c r="R171" s="284">
        <f t="shared" si="19"/>
        <v>0</v>
      </c>
      <c r="S171" s="284">
        <f t="shared" si="16"/>
        <v>0</v>
      </c>
      <c r="T171" s="284">
        <f t="shared" si="17"/>
        <v>0</v>
      </c>
      <c r="U171" s="284">
        <f t="shared" si="20"/>
        <v>52</v>
      </c>
      <c r="V171" s="284">
        <f t="shared" si="18"/>
        <v>0</v>
      </c>
    </row>
    <row r="172" spans="1:22" ht="55.5" customHeight="1" x14ac:dyDescent="0.2">
      <c r="A172" s="315" t="str">
        <f>Questions!$A172</f>
        <v>PPPR-11</v>
      </c>
      <c r="B172" s="315" t="str">
        <f t="shared" si="14"/>
        <v>PPPR</v>
      </c>
      <c r="C172" s="315" t="str">
        <f>VLOOKUP($A172,Questions!$A$3:$L$333,2,0)&amp;""</f>
        <v>Do you have an information security awareness program?</v>
      </c>
      <c r="D172" s="315" t="str">
        <f>VLOOKUP($A172,Questions!$A$3:$L$333,11,0)&amp;""</f>
        <v/>
      </c>
      <c r="E172" s="315" t="str">
        <f>VLOOKUP($A172,Questions!$A$3:$L$333,12,0)&amp;""</f>
        <v>Organization</v>
      </c>
      <c r="F172" s="315" t="str">
        <f>VLOOKUP($A172,'Institution Evaluation'!$A$56:$K$345,3,0)&amp;""</f>
        <v>No</v>
      </c>
      <c r="G172" s="315" t="str">
        <f>VLOOKUP($A172,'Institution Evaluation'!$A$56:$K$345,7,0)&amp;""</f>
        <v>Yes</v>
      </c>
      <c r="H172" s="315" t="str">
        <f>VLOOKUP($A172,'Institution Evaluation'!$A$56:$K$345,8,0)&amp;""</f>
        <v/>
      </c>
      <c r="I172" s="315" t="str">
        <f>VLOOKUP($A172,'Institution Evaluation'!$A$56:$K$345,9,0)&amp;""</f>
        <v>Minor Importance</v>
      </c>
      <c r="J172" s="315" t="str">
        <f>VLOOKUP($A172,'Institution Evaluation'!$A$56:$K$345,10,0)&amp;""</f>
        <v/>
      </c>
      <c r="K172" s="315">
        <f>IF($I172='Auto Responses'!$J$11,20,IF($I172='Auto Responses'!$J$13,5,10))</f>
        <v>5</v>
      </c>
      <c r="L172" s="284">
        <f>IF($E172='Auto Responses'!$L$13, 'Auto Responses'!$J$5,IF(AND($D172='Auto Responses'!$J$27,$H172=""),'Auto Responses'!$J$5,IF(AND($D172='Auto Responses'!$J$27,$H172='Auto Responses'!$J$7),1,IF(AND($D172='Auto Responses'!$J$27,$H172='Auto Responses'!$J$8),0,IF(OR(AND($F172=$G172,$H172=""),$H172='Auto Responses'!$J$7),1,0)))))</f>
        <v>0</v>
      </c>
      <c r="M172" s="315" t="str">
        <f>VLOOKUP($A172,'Institution Evaluation'!$A$56:$K$345,11,0)&amp;""</f>
        <v>FALSCH</v>
      </c>
      <c r="N172" s="315">
        <f>IF($J172='Auto Responses'!$J$11,1,IF(AND($J172="",$I172='Auto Responses'!$J$11),1,0))</f>
        <v>0</v>
      </c>
      <c r="O172" s="284">
        <f>IF(OR($E172='Auto Responses'!$L$13,$F172='Auto Responses'!$J$5),'Auto Responses'!$J$5,IF($J172="",$K172,IF($J172='Auto Responses'!$J$13,5,IF($J172='Auto Responses'!$J$12,10,IF($J172='Auto Responses'!$J$11,20,0)))))</f>
        <v>5</v>
      </c>
      <c r="P172" s="284">
        <f>IF(OR($O172='Auto Responses'!$J$5,$L172='Auto Responses'!$J$5),'Auto Responses'!$J$5,$O172*$L172)</f>
        <v>0</v>
      </c>
      <c r="Q172" s="284">
        <f t="shared" si="15"/>
        <v>0</v>
      </c>
      <c r="R172" s="284">
        <f t="shared" si="19"/>
        <v>0</v>
      </c>
      <c r="S172" s="284">
        <f t="shared" si="16"/>
        <v>0</v>
      </c>
      <c r="T172" s="284">
        <f t="shared" si="17"/>
        <v>0</v>
      </c>
      <c r="U172" s="284">
        <f t="shared" si="20"/>
        <v>52</v>
      </c>
      <c r="V172" s="284">
        <f t="shared" si="18"/>
        <v>0</v>
      </c>
    </row>
    <row r="173" spans="1:22" ht="55.5" customHeight="1" x14ac:dyDescent="0.2">
      <c r="A173" s="315" t="str">
        <f>Questions!$A173</f>
        <v>PPPR-12</v>
      </c>
      <c r="B173" s="315" t="str">
        <f t="shared" si="14"/>
        <v>PPPR</v>
      </c>
      <c r="C173" s="315" t="str">
        <f>VLOOKUP($A173,Questions!$A$3:$L$333,2,0)&amp;""</f>
        <v>Is security awareness training mandatory for all employees?</v>
      </c>
      <c r="D173" s="315" t="str">
        <f>VLOOKUP($A173,Questions!$A$3:$L$333,11,0)&amp;""</f>
        <v/>
      </c>
      <c r="E173" s="315" t="str">
        <f>VLOOKUP($A173,Questions!$A$3:$L$333,12,0)&amp;""</f>
        <v>Organization</v>
      </c>
      <c r="F173" s="315" t="str">
        <f>VLOOKUP($A173,'Institution Evaluation'!$A$56:$K$345,3,0)&amp;""</f>
        <v>No</v>
      </c>
      <c r="G173" s="315" t="str">
        <f>VLOOKUP($A173,'Institution Evaluation'!$A$56:$K$345,7,0)&amp;""</f>
        <v>Yes</v>
      </c>
      <c r="H173" s="315" t="str">
        <f>VLOOKUP($A173,'Institution Evaluation'!$A$56:$K$345,8,0)&amp;""</f>
        <v/>
      </c>
      <c r="I173" s="315" t="str">
        <f>VLOOKUP($A173,'Institution Evaluation'!$A$56:$K$345,9,0)&amp;""</f>
        <v>Minor Importance</v>
      </c>
      <c r="J173" s="315" t="str">
        <f>VLOOKUP($A173,'Institution Evaluation'!$A$56:$K$345,10,0)&amp;""</f>
        <v/>
      </c>
      <c r="K173" s="315">
        <f>IF($I173='Auto Responses'!$J$11,20,IF($I173='Auto Responses'!$J$13,5,10))</f>
        <v>5</v>
      </c>
      <c r="L173" s="284">
        <f>IF($E173='Auto Responses'!$L$13, 'Auto Responses'!$J$5,IF(AND($D173='Auto Responses'!$J$27,$H173=""),'Auto Responses'!$J$5,IF(AND($D173='Auto Responses'!$J$27,$H173='Auto Responses'!$J$7),1,IF(AND($D173='Auto Responses'!$J$27,$H173='Auto Responses'!$J$8),0,IF(OR(AND($F173=$G173,$H173=""),$H173='Auto Responses'!$J$7),1,0)))))</f>
        <v>0</v>
      </c>
      <c r="M173" s="315" t="str">
        <f>VLOOKUP($A173,'Institution Evaluation'!$A$56:$K$345,11,0)&amp;""</f>
        <v>FALSCH</v>
      </c>
      <c r="N173" s="315">
        <f>IF($J173='Auto Responses'!$J$11,1,IF(AND($J173="",$I173='Auto Responses'!$J$11),1,0))</f>
        <v>0</v>
      </c>
      <c r="O173" s="284">
        <f>IF(OR($E173='Auto Responses'!$L$13,$F173='Auto Responses'!$J$5),'Auto Responses'!$J$5,IF($J173="",$K173,IF($J173='Auto Responses'!$J$13,5,IF($J173='Auto Responses'!$J$12,10,IF($J173='Auto Responses'!$J$11,20,0)))))</f>
        <v>5</v>
      </c>
      <c r="P173" s="284">
        <f>IF(OR($O173='Auto Responses'!$J$5,$L173='Auto Responses'!$J$5),'Auto Responses'!$J$5,$O173*$L173)</f>
        <v>0</v>
      </c>
      <c r="Q173" s="284">
        <f t="shared" si="15"/>
        <v>0</v>
      </c>
      <c r="R173" s="284">
        <f t="shared" si="19"/>
        <v>0</v>
      </c>
      <c r="S173" s="284">
        <f t="shared" si="16"/>
        <v>0</v>
      </c>
      <c r="T173" s="284">
        <f t="shared" si="17"/>
        <v>0</v>
      </c>
      <c r="U173" s="284">
        <f t="shared" si="20"/>
        <v>52</v>
      </c>
      <c r="V173" s="284">
        <f t="shared" si="18"/>
        <v>0</v>
      </c>
    </row>
    <row r="174" spans="1:22" ht="55.5" customHeight="1" x14ac:dyDescent="0.2">
      <c r="A174" s="315" t="str">
        <f>Questions!$A174</f>
        <v>PPPR-13</v>
      </c>
      <c r="B174" s="315" t="str">
        <f t="shared" si="14"/>
        <v>PPPR</v>
      </c>
      <c r="C174" s="315" t="str">
        <f>VLOOKUP($A174,Questions!$A$3:$L$333,2,0)&amp;""</f>
        <v>Do you have process and procedure(s) documented, and currently followed, that require a review and update of the access list(s) for privileged accounts?</v>
      </c>
      <c r="D174" s="315" t="str">
        <f>VLOOKUP($A174,Questions!$A$3:$L$333,11,0)&amp;""</f>
        <v/>
      </c>
      <c r="E174" s="315" t="str">
        <f>VLOOKUP($A174,Questions!$A$3:$L$333,12,0)&amp;""</f>
        <v>Organization</v>
      </c>
      <c r="F174" s="315" t="str">
        <f>VLOOKUP($A174,'Institution Evaluation'!$A$56:$K$345,3,0)&amp;""</f>
        <v>No</v>
      </c>
      <c r="G174" s="315" t="str">
        <f>VLOOKUP($A174,'Institution Evaluation'!$A$56:$K$345,7,0)&amp;""</f>
        <v>Yes</v>
      </c>
      <c r="H174" s="315" t="str">
        <f>VLOOKUP($A174,'Institution Evaluation'!$A$56:$K$345,8,0)&amp;""</f>
        <v/>
      </c>
      <c r="I174" s="315" t="str">
        <f>VLOOKUP($A174,'Institution Evaluation'!$A$56:$K$345,9,0)&amp;""</f>
        <v>Minor Importance</v>
      </c>
      <c r="J174" s="315" t="str">
        <f>VLOOKUP($A174,'Institution Evaluation'!$A$56:$K$345,10,0)&amp;""</f>
        <v/>
      </c>
      <c r="K174" s="315">
        <f>IF($I174='Auto Responses'!$J$11,20,IF($I174='Auto Responses'!$J$13,5,10))</f>
        <v>5</v>
      </c>
      <c r="L174" s="284">
        <f>IF($E174='Auto Responses'!$L$13, 'Auto Responses'!$J$5,IF(AND($D174='Auto Responses'!$J$27,$H174=""),'Auto Responses'!$J$5,IF(AND($D174='Auto Responses'!$J$27,$H174='Auto Responses'!$J$7),1,IF(AND($D174='Auto Responses'!$J$27,$H174='Auto Responses'!$J$8),0,IF(OR(AND($F174=$G174,$H174=""),$H174='Auto Responses'!$J$7),1,0)))))</f>
        <v>0</v>
      </c>
      <c r="M174" s="315" t="str">
        <f>VLOOKUP($A174,'Institution Evaluation'!$A$56:$K$345,11,0)&amp;""</f>
        <v>FALSCH</v>
      </c>
      <c r="N174" s="315">
        <f>IF($J174='Auto Responses'!$J$11,1,IF(AND($J174="",$I174='Auto Responses'!$J$11),1,0))</f>
        <v>0</v>
      </c>
      <c r="O174" s="284">
        <f>IF(OR($E174='Auto Responses'!$L$13,$F174='Auto Responses'!$J$5),'Auto Responses'!$J$5,IF($J174="",$K174,IF($J174='Auto Responses'!$J$13,5,IF($J174='Auto Responses'!$J$12,10,IF($J174='Auto Responses'!$J$11,20,0)))))</f>
        <v>5</v>
      </c>
      <c r="P174" s="284">
        <f>IF(OR($O174='Auto Responses'!$J$5,$L174='Auto Responses'!$J$5),'Auto Responses'!$J$5,$O174*$L174)</f>
        <v>0</v>
      </c>
      <c r="Q174" s="284">
        <f t="shared" si="15"/>
        <v>0</v>
      </c>
      <c r="R174" s="284">
        <f t="shared" si="19"/>
        <v>0</v>
      </c>
      <c r="S174" s="284">
        <f t="shared" si="16"/>
        <v>0</v>
      </c>
      <c r="T174" s="284">
        <f t="shared" si="17"/>
        <v>0</v>
      </c>
      <c r="U174" s="284">
        <f t="shared" si="20"/>
        <v>52</v>
      </c>
      <c r="V174" s="284">
        <f t="shared" si="18"/>
        <v>0</v>
      </c>
    </row>
    <row r="175" spans="1:22" ht="55.5" customHeight="1" x14ac:dyDescent="0.2">
      <c r="A175" s="315" t="str">
        <f>Questions!$A175</f>
        <v>PPPR-14</v>
      </c>
      <c r="B175" s="315" t="str">
        <f t="shared" si="14"/>
        <v>PPPR</v>
      </c>
      <c r="C175" s="315" t="str">
        <f>VLOOKUP($A175,Questions!$A$3:$L$333,2,0)&amp;""</f>
        <v>Do you have documented, and currently implemented, internal audit processes and procedures?</v>
      </c>
      <c r="D175" s="315" t="str">
        <f>VLOOKUP($A175,Questions!$A$3:$L$333,11,0)&amp;""</f>
        <v/>
      </c>
      <c r="E175" s="315" t="str">
        <f>VLOOKUP($A175,Questions!$A$3:$L$333,12,0)&amp;""</f>
        <v>Organization</v>
      </c>
      <c r="F175" s="315" t="str">
        <f>VLOOKUP($A175,'Institution Evaluation'!$A$56:$K$345,3,0)&amp;""</f>
        <v>No</v>
      </c>
      <c r="G175" s="315" t="str">
        <f>VLOOKUP($A175,'Institution Evaluation'!$A$56:$K$345,7,0)&amp;""</f>
        <v>Yes</v>
      </c>
      <c r="H175" s="315" t="str">
        <f>VLOOKUP($A175,'Institution Evaluation'!$A$56:$K$345,8,0)&amp;""</f>
        <v/>
      </c>
      <c r="I175" s="315" t="str">
        <f>VLOOKUP($A175,'Institution Evaluation'!$A$56:$K$345,9,0)&amp;""</f>
        <v>Minor Importance</v>
      </c>
      <c r="J175" s="315" t="str">
        <f>VLOOKUP($A175,'Institution Evaluation'!$A$56:$K$345,10,0)&amp;""</f>
        <v/>
      </c>
      <c r="K175" s="315">
        <f>IF($I175='Auto Responses'!$J$11,20,IF($I175='Auto Responses'!$J$13,5,10))</f>
        <v>5</v>
      </c>
      <c r="L175" s="284">
        <f>IF($E175='Auto Responses'!$L$13, 'Auto Responses'!$J$5,IF(AND($D175='Auto Responses'!$J$27,$H175=""),'Auto Responses'!$J$5,IF(AND($D175='Auto Responses'!$J$27,$H175='Auto Responses'!$J$7),1,IF(AND($D175='Auto Responses'!$J$27,$H175='Auto Responses'!$J$8),0,IF(OR(AND($F175=$G175,$H175=""),$H175='Auto Responses'!$J$7),1,0)))))</f>
        <v>0</v>
      </c>
      <c r="M175" s="315" t="str">
        <f>VLOOKUP($A175,'Institution Evaluation'!$A$56:$K$345,11,0)&amp;""</f>
        <v>FALSCH</v>
      </c>
      <c r="N175" s="315">
        <f>IF($J175='Auto Responses'!$J$11,1,IF(AND($J175="",$I175='Auto Responses'!$J$11),1,0))</f>
        <v>0</v>
      </c>
      <c r="O175" s="284">
        <f>IF(OR($E175='Auto Responses'!$L$13,$F175='Auto Responses'!$J$5),'Auto Responses'!$J$5,IF($J175="",$K175,IF($J175='Auto Responses'!$J$13,5,IF($J175='Auto Responses'!$J$12,10,IF($J175='Auto Responses'!$J$11,20,0)))))</f>
        <v>5</v>
      </c>
      <c r="P175" s="284">
        <f>IF(OR($O175='Auto Responses'!$J$5,$L175='Auto Responses'!$J$5),'Auto Responses'!$J$5,$O175*$L175)</f>
        <v>0</v>
      </c>
      <c r="Q175" s="284">
        <f t="shared" si="15"/>
        <v>0</v>
      </c>
      <c r="R175" s="284">
        <f t="shared" si="19"/>
        <v>0</v>
      </c>
      <c r="S175" s="284">
        <f t="shared" si="16"/>
        <v>0</v>
      </c>
      <c r="T175" s="284">
        <f t="shared" si="17"/>
        <v>0</v>
      </c>
      <c r="U175" s="284">
        <f t="shared" si="20"/>
        <v>52</v>
      </c>
      <c r="V175" s="284">
        <f t="shared" si="18"/>
        <v>0</v>
      </c>
    </row>
    <row r="176" spans="1:22" ht="55.5" customHeight="1" x14ac:dyDescent="0.2">
      <c r="A176" s="315" t="str">
        <f>Questions!$A176</f>
        <v>PPPR-15</v>
      </c>
      <c r="B176" s="315" t="str">
        <f t="shared" si="14"/>
        <v>PPPR</v>
      </c>
      <c r="C176" s="315" t="str">
        <f>VLOOKUP($A176,Questions!$A$3:$L$333,2,0)&amp;""</f>
        <v>Does your organization have physical security controls and policies in place?</v>
      </c>
      <c r="D176" s="315" t="str">
        <f>VLOOKUP($A176,Questions!$A$3:$L$333,11,0)&amp;""</f>
        <v/>
      </c>
      <c r="E176" s="315" t="str">
        <f>VLOOKUP($A176,Questions!$A$3:$L$333,12,0)&amp;""</f>
        <v>Organization</v>
      </c>
      <c r="F176" s="315" t="str">
        <f>VLOOKUP($A176,'Institution Evaluation'!$A$56:$K$345,3,0)&amp;""</f>
        <v>Yes</v>
      </c>
      <c r="G176" s="315" t="str">
        <f>VLOOKUP($A176,'Institution Evaluation'!$A$56:$K$345,7,0)&amp;""</f>
        <v>Yes</v>
      </c>
      <c r="H176" s="315" t="str">
        <f>VLOOKUP($A176,'Institution Evaluation'!$A$56:$K$345,8,0)&amp;""</f>
        <v/>
      </c>
      <c r="I176" s="315" t="str">
        <f>VLOOKUP($A176,'Institution Evaluation'!$A$56:$K$345,9,0)&amp;""</f>
        <v>Minor Importance</v>
      </c>
      <c r="J176" s="315" t="str">
        <f>VLOOKUP($A176,'Institution Evaluation'!$A$56:$K$345,10,0)&amp;""</f>
        <v/>
      </c>
      <c r="K176" s="315">
        <f>IF($I176='Auto Responses'!$J$11,20,IF($I176='Auto Responses'!$J$13,5,10))</f>
        <v>5</v>
      </c>
      <c r="L176" s="284">
        <f>IF($E176='Auto Responses'!$L$13, 'Auto Responses'!$J$5,IF(AND($D176='Auto Responses'!$J$27,$H176=""),'Auto Responses'!$J$5,IF(AND($D176='Auto Responses'!$J$27,$H176='Auto Responses'!$J$7),1,IF(AND($D176='Auto Responses'!$J$27,$H176='Auto Responses'!$J$8),0,IF(OR(AND($F176=$G176,$H176=""),$H176='Auto Responses'!$J$7),1,0)))))</f>
        <v>1</v>
      </c>
      <c r="M176" s="315" t="str">
        <f>VLOOKUP($A176,'Institution Evaluation'!$A$56:$K$345,11,0)&amp;""</f>
        <v>FALSCH</v>
      </c>
      <c r="N176" s="315">
        <f>IF($J176='Auto Responses'!$J$11,1,IF(AND($J176="",$I176='Auto Responses'!$J$11),1,0))</f>
        <v>0</v>
      </c>
      <c r="O176" s="284">
        <f>IF(OR($E176='Auto Responses'!$L$13,$F176='Auto Responses'!$J$5),'Auto Responses'!$J$5,IF($J176="",$K176,IF($J176='Auto Responses'!$J$13,5,IF($J176='Auto Responses'!$J$12,10,IF($J176='Auto Responses'!$J$11,20,0)))))</f>
        <v>5</v>
      </c>
      <c r="P176" s="284">
        <f>IF(OR($O176='Auto Responses'!$J$5,$L176='Auto Responses'!$J$5),'Auto Responses'!$J$5,$O176*$L176)</f>
        <v>5</v>
      </c>
      <c r="Q176" s="284">
        <f t="shared" si="15"/>
        <v>0</v>
      </c>
      <c r="R176" s="284">
        <f t="shared" si="19"/>
        <v>0</v>
      </c>
      <c r="S176" s="284">
        <f t="shared" si="16"/>
        <v>0</v>
      </c>
      <c r="T176" s="284">
        <f t="shared" si="17"/>
        <v>0</v>
      </c>
      <c r="U176" s="284">
        <f t="shared" si="20"/>
        <v>52</v>
      </c>
      <c r="V176" s="284">
        <f t="shared" si="18"/>
        <v>0</v>
      </c>
    </row>
    <row r="177" spans="1:22" ht="55.5" customHeight="1" x14ac:dyDescent="0.2">
      <c r="A177" s="315" t="str">
        <f>Questions!$A177</f>
        <v>HFIH-01</v>
      </c>
      <c r="B177" s="315" t="str">
        <f t="shared" si="14"/>
        <v>HFIH</v>
      </c>
      <c r="C177" s="315" t="str">
        <f>VLOOKUP($A177,Questions!$A$3:$L$333,2,0)&amp;""</f>
        <v>Do you have a formal incident response plan?</v>
      </c>
      <c r="D177" s="315" t="str">
        <f>VLOOKUP($A177,Questions!$A$3:$L$333,11,0)&amp;""</f>
        <v/>
      </c>
      <c r="E177" s="315" t="str">
        <f>VLOOKUP($A177,Questions!$A$3:$L$333,12,0)&amp;""</f>
        <v>Infrastructure</v>
      </c>
      <c r="F177" s="315" t="str">
        <f>VLOOKUP($A177,'Institution Evaluation'!$A$56:$K$345,3,0)&amp;""</f>
        <v>N/A</v>
      </c>
      <c r="G177" s="315" t="str">
        <f>VLOOKUP($A177,'Institution Evaluation'!$A$56:$K$345,7,0)&amp;""</f>
        <v>Yes</v>
      </c>
      <c r="H177" s="315" t="str">
        <f>VLOOKUP($A177,'Institution Evaluation'!$A$56:$K$345,8,0)&amp;""</f>
        <v/>
      </c>
      <c r="I177" s="315" t="str">
        <f>VLOOKUP($A177,'Institution Evaluation'!$A$56:$K$345,9,0)&amp;""</f>
        <v>Standard Importance</v>
      </c>
      <c r="J177" s="315" t="str">
        <f>VLOOKUP($A177,'Institution Evaluation'!$A$56:$K$345,10,0)&amp;""</f>
        <v/>
      </c>
      <c r="K177" s="315">
        <f>IF($I177='Auto Responses'!$J$11,20,IF($I177='Auto Responses'!$J$13,5,10))</f>
        <v>10</v>
      </c>
      <c r="L177" s="284">
        <f>IF($E177='Auto Responses'!$L$13, 'Auto Responses'!$J$5,IF(AND($D177='Auto Responses'!$J$27,$H177=""),'Auto Responses'!$J$5,IF(AND($D177='Auto Responses'!$J$27,$H177='Auto Responses'!$J$7),1,IF(AND($D177='Auto Responses'!$J$27,$H177='Auto Responses'!$J$8),0,IF(OR(AND($F177=$G177,$H177=""),$H177='Auto Responses'!$J$7),1,0)))))</f>
        <v>0</v>
      </c>
      <c r="M177" s="315" t="str">
        <f>VLOOKUP($A177,'Institution Evaluation'!$A$56:$K$345,11,0)&amp;""</f>
        <v>FALSCH</v>
      </c>
      <c r="N177" s="315">
        <f>IF($J177='Auto Responses'!$J$11,1,IF(AND($J177="",$I177='Auto Responses'!$J$11),1,0))</f>
        <v>0</v>
      </c>
      <c r="O177" s="284" t="str">
        <f>IF(OR($F$17='Auto Responses'!$J$4,$E177='Auto Responses'!$L$13,$F177='Auto Responses'!$J$5),'Auto Responses'!$J$5,IF($J177="",$K177,IF($J177='Auto Responses'!$J$13,5,IF($J177='Auto Responses'!$J$12,10,IF($J177='Auto Responses'!$J$11,20,0)))))</f>
        <v>N/A</v>
      </c>
      <c r="P177" s="284" t="str">
        <f>IF(OR($O177='Auto Responses'!$J$5,$L177='Auto Responses'!$J$5),'Auto Responses'!$J$5,$O177*$L177)</f>
        <v>N/A</v>
      </c>
      <c r="Q177" s="284">
        <f t="shared" si="15"/>
        <v>0</v>
      </c>
      <c r="R177" s="284">
        <f t="shared" si="19"/>
        <v>0</v>
      </c>
      <c r="S177" s="284">
        <f t="shared" si="16"/>
        <v>0</v>
      </c>
      <c r="T177" s="284">
        <f t="shared" si="17"/>
        <v>0</v>
      </c>
      <c r="U177" s="284">
        <f t="shared" si="20"/>
        <v>52</v>
      </c>
      <c r="V177" s="284">
        <f t="shared" si="18"/>
        <v>0</v>
      </c>
    </row>
    <row r="178" spans="1:22" ht="55.5" customHeight="1" x14ac:dyDescent="0.2">
      <c r="A178" s="315" t="str">
        <f>Questions!$A178</f>
        <v>HFIH-02</v>
      </c>
      <c r="B178" s="315" t="str">
        <f t="shared" si="14"/>
        <v>HFIH</v>
      </c>
      <c r="C178" s="315" t="str">
        <f>VLOOKUP($A178,Questions!$A$3:$L$333,2,0)&amp;""</f>
        <v>Do you either have an internal incident response team or retain an external team?</v>
      </c>
      <c r="D178" s="315" t="str">
        <f>VLOOKUP($A178,Questions!$A$3:$L$333,11,0)&amp;""</f>
        <v/>
      </c>
      <c r="E178" s="315" t="str">
        <f>VLOOKUP($A178,Questions!$A$3:$L$333,12,0)&amp;""</f>
        <v>Infrastructure</v>
      </c>
      <c r="F178" s="315" t="str">
        <f>VLOOKUP($A178,'Institution Evaluation'!$A$56:$K$345,3,0)&amp;""</f>
        <v>N/A</v>
      </c>
      <c r="G178" s="315" t="str">
        <f>VLOOKUP($A178,'Institution Evaluation'!$A$56:$K$345,7,0)&amp;""</f>
        <v>Yes</v>
      </c>
      <c r="H178" s="315" t="str">
        <f>VLOOKUP($A178,'Institution Evaluation'!$A$56:$K$345,8,0)&amp;""</f>
        <v/>
      </c>
      <c r="I178" s="315" t="str">
        <f>VLOOKUP($A178,'Institution Evaluation'!$A$56:$K$345,9,0)&amp;""</f>
        <v>Minor Importance</v>
      </c>
      <c r="J178" s="315" t="str">
        <f>VLOOKUP($A178,'Institution Evaluation'!$A$56:$K$345,10,0)&amp;""</f>
        <v/>
      </c>
      <c r="K178" s="315">
        <f>IF($I178='Auto Responses'!$J$11,20,IF($I178='Auto Responses'!$J$13,5,10))</f>
        <v>5</v>
      </c>
      <c r="L178" s="284">
        <f>IF($E178='Auto Responses'!$L$13, 'Auto Responses'!$J$5,IF(AND($D178='Auto Responses'!$J$27,$H178=""),'Auto Responses'!$J$5,IF(AND($D178='Auto Responses'!$J$27,$H178='Auto Responses'!$J$7),1,IF(AND($D178='Auto Responses'!$J$27,$H178='Auto Responses'!$J$8),0,IF(OR(AND($F178=$G178,$H178=""),$H178='Auto Responses'!$J$7),1,0)))))</f>
        <v>0</v>
      </c>
      <c r="M178" s="315" t="str">
        <f>VLOOKUP($A178,'Institution Evaluation'!$A$56:$K$345,11,0)&amp;""</f>
        <v>FALSCH</v>
      </c>
      <c r="N178" s="315">
        <f>IF($J178='Auto Responses'!$J$11,1,IF(AND($J178="",$I178='Auto Responses'!$J$11),1,0))</f>
        <v>0</v>
      </c>
      <c r="O178" s="284" t="str">
        <f>IF(OR($F$17='Auto Responses'!$J$4,$E178='Auto Responses'!$L$13,$F178='Auto Responses'!$J$5),'Auto Responses'!$J$5,IF($J178="",$K178,IF($J178='Auto Responses'!$J$13,5,IF($J178='Auto Responses'!$J$12,10,IF($J178='Auto Responses'!$J$11,20,0)))))</f>
        <v>N/A</v>
      </c>
      <c r="P178" s="284" t="str">
        <f>IF(OR($O178='Auto Responses'!$J$5,$L178='Auto Responses'!$J$5),'Auto Responses'!$J$5,$O178*$L178)</f>
        <v>N/A</v>
      </c>
      <c r="Q178" s="284">
        <f t="shared" si="15"/>
        <v>0</v>
      </c>
      <c r="R178" s="284">
        <f t="shared" si="19"/>
        <v>0</v>
      </c>
      <c r="S178" s="284">
        <f t="shared" si="16"/>
        <v>0</v>
      </c>
      <c r="T178" s="284">
        <f t="shared" si="17"/>
        <v>0</v>
      </c>
      <c r="U178" s="284">
        <f t="shared" si="20"/>
        <v>52</v>
      </c>
      <c r="V178" s="284">
        <f t="shared" si="18"/>
        <v>0</v>
      </c>
    </row>
    <row r="179" spans="1:22" ht="55.5" customHeight="1" x14ac:dyDescent="0.2">
      <c r="A179" s="315" t="str">
        <f>Questions!$A179</f>
        <v>HFIH-03</v>
      </c>
      <c r="B179" s="315" t="str">
        <f t="shared" si="14"/>
        <v>HFIH</v>
      </c>
      <c r="C179" s="315" t="str">
        <f>VLOOKUP($A179,Questions!$A$3:$L$333,2,0)&amp;""</f>
        <v>Do you have the capability to respond to incidents on a 24 x 7 x 365 basis?</v>
      </c>
      <c r="D179" s="315" t="str">
        <f>VLOOKUP($A179,Questions!$A$3:$L$333,11,0)&amp;""</f>
        <v/>
      </c>
      <c r="E179" s="315" t="str">
        <f>VLOOKUP($A179,Questions!$A$3:$L$333,12,0)&amp;""</f>
        <v>Infrastructure</v>
      </c>
      <c r="F179" s="315" t="str">
        <f>VLOOKUP($A179,'Institution Evaluation'!$A$56:$K$345,3,0)&amp;""</f>
        <v>N/A</v>
      </c>
      <c r="G179" s="315" t="str">
        <f>VLOOKUP($A179,'Institution Evaluation'!$A$56:$K$345,7,0)&amp;""</f>
        <v>Yes</v>
      </c>
      <c r="H179" s="315" t="str">
        <f>VLOOKUP($A179,'Institution Evaluation'!$A$56:$K$345,8,0)&amp;""</f>
        <v/>
      </c>
      <c r="I179" s="315" t="str">
        <f>VLOOKUP($A179,'Institution Evaluation'!$A$56:$K$345,9,0)&amp;""</f>
        <v>Minor Importance</v>
      </c>
      <c r="J179" s="315" t="str">
        <f>VLOOKUP($A179,'Institution Evaluation'!$A$56:$K$345,10,0)&amp;""</f>
        <v/>
      </c>
      <c r="K179" s="315">
        <f>IF($I179='Auto Responses'!$J$11,20,IF($I179='Auto Responses'!$J$13,5,10))</f>
        <v>5</v>
      </c>
      <c r="L179" s="284">
        <f>IF($E179='Auto Responses'!$L$13, 'Auto Responses'!$J$5,IF(AND($D179='Auto Responses'!$J$27,$H179=""),'Auto Responses'!$J$5,IF(AND($D179='Auto Responses'!$J$27,$H179='Auto Responses'!$J$7),1,IF(AND($D179='Auto Responses'!$J$27,$H179='Auto Responses'!$J$8),0,IF(OR(AND($F179=$G179,$H179=""),$H179='Auto Responses'!$J$7),1,0)))))</f>
        <v>0</v>
      </c>
      <c r="M179" s="315" t="str">
        <f>VLOOKUP($A179,'Institution Evaluation'!$A$56:$K$345,11,0)&amp;""</f>
        <v>FALSCH</v>
      </c>
      <c r="N179" s="315">
        <f>IF($J179='Auto Responses'!$J$11,1,IF(AND($J179="",$I179='Auto Responses'!$J$11),1,0))</f>
        <v>0</v>
      </c>
      <c r="O179" s="284" t="str">
        <f>IF(OR($F$17='Auto Responses'!$J$4,$E179='Auto Responses'!$L$13,$F179='Auto Responses'!$J$5),'Auto Responses'!$J$5,IF($J179="",$K179,IF($J179='Auto Responses'!$J$13,5,IF($J179='Auto Responses'!$J$12,10,IF($J179='Auto Responses'!$J$11,20,0)))))</f>
        <v>N/A</v>
      </c>
      <c r="P179" s="284" t="str">
        <f>IF(OR($O179='Auto Responses'!$J$5,$L179='Auto Responses'!$J$5),'Auto Responses'!$J$5,$O179*$L179)</f>
        <v>N/A</v>
      </c>
      <c r="Q179" s="284">
        <f t="shared" si="15"/>
        <v>0</v>
      </c>
      <c r="R179" s="284">
        <f t="shared" si="19"/>
        <v>0</v>
      </c>
      <c r="S179" s="284">
        <f t="shared" si="16"/>
        <v>0</v>
      </c>
      <c r="T179" s="284">
        <f t="shared" si="17"/>
        <v>0</v>
      </c>
      <c r="U179" s="284">
        <f t="shared" si="20"/>
        <v>52</v>
      </c>
      <c r="V179" s="284">
        <f t="shared" si="18"/>
        <v>0</v>
      </c>
    </row>
    <row r="180" spans="1:22" ht="55.5" customHeight="1" x14ac:dyDescent="0.2">
      <c r="A180" s="315" t="str">
        <f>Questions!$A180</f>
        <v>HFIH-04</v>
      </c>
      <c r="B180" s="315" t="str">
        <f t="shared" si="14"/>
        <v>HFIH</v>
      </c>
      <c r="C180" s="315" t="str">
        <f>VLOOKUP($A180,Questions!$A$3:$L$333,2,0)&amp;""</f>
        <v>Do you carry cyber-risk insurance to protect against unforeseen service outages, data that is lost or stolen, and security incidents?</v>
      </c>
      <c r="D180" s="315" t="str">
        <f>VLOOKUP($A180,Questions!$A$3:$L$333,11,0)&amp;""</f>
        <v/>
      </c>
      <c r="E180" s="315" t="str">
        <f>VLOOKUP($A180,Questions!$A$3:$L$333,12,0)&amp;""</f>
        <v>Infrastructure</v>
      </c>
      <c r="F180" s="315" t="str">
        <f>VLOOKUP($A180,'Institution Evaluation'!$A$56:$K$345,3,0)&amp;""</f>
        <v>N/A</v>
      </c>
      <c r="G180" s="315" t="str">
        <f>VLOOKUP($A180,'Institution Evaluation'!$A$56:$K$345,7,0)&amp;""</f>
        <v>Yes</v>
      </c>
      <c r="H180" s="315" t="str">
        <f>VLOOKUP($A180,'Institution Evaluation'!$A$56:$K$345,8,0)&amp;""</f>
        <v/>
      </c>
      <c r="I180" s="315" t="str">
        <f>VLOOKUP($A180,'Institution Evaluation'!$A$56:$K$345,9,0)&amp;""</f>
        <v>Minor Importance</v>
      </c>
      <c r="J180" s="315" t="str">
        <f>VLOOKUP($A180,'Institution Evaluation'!$A$56:$K$345,10,0)&amp;""</f>
        <v/>
      </c>
      <c r="K180" s="315">
        <f>IF($I180='Auto Responses'!$J$11,20,IF($I180='Auto Responses'!$J$13,5,10))</f>
        <v>5</v>
      </c>
      <c r="L180" s="284">
        <f>IF($E180='Auto Responses'!$L$13, 'Auto Responses'!$J$5,IF(AND($D180='Auto Responses'!$J$27,$H180=""),'Auto Responses'!$J$5,IF(AND($D180='Auto Responses'!$J$27,$H180='Auto Responses'!$J$7),1,IF(AND($D180='Auto Responses'!$J$27,$H180='Auto Responses'!$J$8),0,IF(OR(AND($F180=$G180,$H180=""),$H180='Auto Responses'!$J$7),1,0)))))</f>
        <v>0</v>
      </c>
      <c r="M180" s="315" t="str">
        <f>VLOOKUP($A180,'Institution Evaluation'!$A$56:$K$345,11,0)&amp;""</f>
        <v>FALSCH</v>
      </c>
      <c r="N180" s="315">
        <f>IF($J180='Auto Responses'!$J$11,1,IF(AND($J180="",$I180='Auto Responses'!$J$11),1,0))</f>
        <v>0</v>
      </c>
      <c r="O180" s="284" t="str">
        <f>IF(OR($F$17='Auto Responses'!$J$4,$E180='Auto Responses'!$L$13,$F180='Auto Responses'!$J$5),'Auto Responses'!$J$5,IF($J180="",$K180,IF($J180='Auto Responses'!$J$13,5,IF($J180='Auto Responses'!$J$12,10,IF($J180='Auto Responses'!$J$11,20,0)))))</f>
        <v>N/A</v>
      </c>
      <c r="P180" s="284" t="str">
        <f>IF(OR($O180='Auto Responses'!$J$5,$L180='Auto Responses'!$J$5),'Auto Responses'!$J$5,$O180*$L180)</f>
        <v>N/A</v>
      </c>
      <c r="Q180" s="284">
        <f t="shared" si="15"/>
        <v>0</v>
      </c>
      <c r="R180" s="284">
        <f t="shared" si="19"/>
        <v>0</v>
      </c>
      <c r="S180" s="284">
        <f t="shared" si="16"/>
        <v>0</v>
      </c>
      <c r="T180" s="284">
        <f t="shared" si="17"/>
        <v>0</v>
      </c>
      <c r="U180" s="284">
        <f t="shared" si="20"/>
        <v>52</v>
      </c>
      <c r="V180" s="284">
        <f t="shared" si="18"/>
        <v>0</v>
      </c>
    </row>
    <row r="181" spans="1:22" ht="55.5" customHeight="1" x14ac:dyDescent="0.2">
      <c r="A181" s="315" t="str">
        <f>Questions!$A181</f>
        <v>VULN-01</v>
      </c>
      <c r="B181" s="315" t="str">
        <f t="shared" si="14"/>
        <v>VULN</v>
      </c>
      <c r="C181" s="315" t="str">
        <f>VLOOKUP($A181,Questions!$A$3:$L$333,2,0)&amp;""</f>
        <v>Are your systems and applications scanned with an authenticated user account for vulnerabilities (that are remediated) prior to new releases?*</v>
      </c>
      <c r="D181" s="315" t="str">
        <f>VLOOKUP($A181,Questions!$A$3:$L$333,11,0)&amp;""</f>
        <v/>
      </c>
      <c r="E181" s="315" t="str">
        <f>VLOOKUP($A181,Questions!$A$3:$L$333,12,0)&amp;""</f>
        <v>Infrastructure</v>
      </c>
      <c r="F181" s="315" t="str">
        <f>VLOOKUP($A181,'Institution Evaluation'!$A$56:$K$345,3,0)&amp;""</f>
        <v>N/A</v>
      </c>
      <c r="G181" s="315" t="str">
        <f>VLOOKUP($A181,'Institution Evaluation'!$A$56:$K$345,7,0)&amp;""</f>
        <v>Yes</v>
      </c>
      <c r="H181" s="315" t="str">
        <f>VLOOKUP($A181,'Institution Evaluation'!$A$56:$K$345,8,0)&amp;""</f>
        <v/>
      </c>
      <c r="I181" s="315" t="str">
        <f>VLOOKUP($A181,'Institution Evaluation'!$A$56:$K$345,9,0)&amp;""</f>
        <v>Critical Importance</v>
      </c>
      <c r="J181" s="315" t="str">
        <f>VLOOKUP($A181,'Institution Evaluation'!$A$56:$K$345,10,0)&amp;""</f>
        <v/>
      </c>
      <c r="K181" s="315">
        <f>IF($I181='Auto Responses'!$J$11,20,IF($I181='Auto Responses'!$J$13,5,10))</f>
        <v>20</v>
      </c>
      <c r="L181" s="284">
        <f>IF($E181='Auto Responses'!$L$13, 'Auto Responses'!$J$5,IF(AND($D181='Auto Responses'!$J$27,$H181=""),'Auto Responses'!$J$5,IF(AND($D181='Auto Responses'!$J$27,$H181='Auto Responses'!$J$7),1,IF(AND($D181='Auto Responses'!$J$27,$H181='Auto Responses'!$J$8),0,IF(OR(AND($F181=$G181,$H181=""),$H181='Auto Responses'!$J$7),1,0)))))</f>
        <v>0</v>
      </c>
      <c r="M181" s="315" t="str">
        <f>VLOOKUP($A181,'Institution Evaluation'!$A$56:$K$345,11,0)&amp;""</f>
        <v>FALSCH</v>
      </c>
      <c r="N181" s="315">
        <f>IF($J181='Auto Responses'!$J$11,1,IF(AND($J181="",$I181='Auto Responses'!$J$11),1,0))</f>
        <v>1</v>
      </c>
      <c r="O181" s="284" t="str">
        <f>IF(OR($F$17='Auto Responses'!$J$4,$E181='Auto Responses'!$L$13,$F181='Auto Responses'!$J$5),'Auto Responses'!$J$5,IF($J181="",$K181,IF($J181='Auto Responses'!$J$13,5,IF($J181='Auto Responses'!$J$12,10,IF($J181='Auto Responses'!$J$11,20,0)))))</f>
        <v>N/A</v>
      </c>
      <c r="P181" s="284" t="str">
        <f>IF(OR($O181='Auto Responses'!$J$5,$L181='Auto Responses'!$J$5),'Auto Responses'!$J$5,$O181*$L181)</f>
        <v>N/A</v>
      </c>
      <c r="Q181" s="284">
        <f t="shared" si="15"/>
        <v>0</v>
      </c>
      <c r="R181" s="284">
        <f t="shared" si="19"/>
        <v>0</v>
      </c>
      <c r="S181" s="284">
        <f t="shared" si="16"/>
        <v>0</v>
      </c>
      <c r="T181" s="284">
        <f t="shared" si="17"/>
        <v>1</v>
      </c>
      <c r="U181" s="284">
        <f t="shared" si="20"/>
        <v>53</v>
      </c>
      <c r="V181" s="284">
        <f t="shared" si="18"/>
        <v>53</v>
      </c>
    </row>
    <row r="182" spans="1:22" ht="55.5" customHeight="1" x14ac:dyDescent="0.2">
      <c r="A182" s="315" t="str">
        <f>Questions!$A182</f>
        <v>VULN-02</v>
      </c>
      <c r="B182" s="315" t="str">
        <f t="shared" si="14"/>
        <v>VULN</v>
      </c>
      <c r="C182" s="315" t="str">
        <f>VLOOKUP($A182,Questions!$A$3:$L$333,2,0)&amp;""</f>
        <v>Will you provide results of application and system vulnerability scans to the institution?*</v>
      </c>
      <c r="D182" s="315" t="str">
        <f>VLOOKUP($A182,Questions!$A$3:$L$333,11,0)&amp;""</f>
        <v/>
      </c>
      <c r="E182" s="315" t="str">
        <f>VLOOKUP($A182,Questions!$A$3:$L$333,12,0)&amp;""</f>
        <v>Infrastructure</v>
      </c>
      <c r="F182" s="315" t="str">
        <f>VLOOKUP($A182,'Institution Evaluation'!$A$56:$K$345,3,0)&amp;""</f>
        <v>N/A</v>
      </c>
      <c r="G182" s="315" t="str">
        <f>VLOOKUP($A182,'Institution Evaluation'!$A$56:$K$345,7,0)&amp;""</f>
        <v>Yes</v>
      </c>
      <c r="H182" s="315" t="str">
        <f>VLOOKUP($A182,'Institution Evaluation'!$A$56:$K$345,8,0)&amp;""</f>
        <v/>
      </c>
      <c r="I182" s="315" t="str">
        <f>VLOOKUP($A182,'Institution Evaluation'!$A$56:$K$345,9,0)&amp;""</f>
        <v>Critical Importance</v>
      </c>
      <c r="J182" s="315" t="str">
        <f>VLOOKUP($A182,'Institution Evaluation'!$A$56:$K$345,10,0)&amp;""</f>
        <v/>
      </c>
      <c r="K182" s="315">
        <f>IF($I182='Auto Responses'!$J$11,20,IF($I182='Auto Responses'!$J$13,5,10))</f>
        <v>20</v>
      </c>
      <c r="L182" s="284">
        <f>IF($E182='Auto Responses'!$L$13, 'Auto Responses'!$J$5,IF(AND($D182='Auto Responses'!$J$27,$H182=""),'Auto Responses'!$J$5,IF(AND($D182='Auto Responses'!$J$27,$H182='Auto Responses'!$J$7),1,IF(AND($D182='Auto Responses'!$J$27,$H182='Auto Responses'!$J$8),0,IF(OR(AND($F182=$G182,$H182=""),$H182='Auto Responses'!$J$7),1,0)))))</f>
        <v>0</v>
      </c>
      <c r="M182" s="315" t="str">
        <f>VLOOKUP($A182,'Institution Evaluation'!$A$56:$K$345,11,0)&amp;""</f>
        <v>FALSCH</v>
      </c>
      <c r="N182" s="315">
        <f>IF($J182='Auto Responses'!$J$11,1,IF(AND($J182="",$I182='Auto Responses'!$J$11),1,0))</f>
        <v>1</v>
      </c>
      <c r="O182" s="284" t="str">
        <f>IF(OR($F$17='Auto Responses'!$J$4,$E182='Auto Responses'!$L$13,$F182='Auto Responses'!$J$5),'Auto Responses'!$J$5,IF($J182="",$K182,IF($J182='Auto Responses'!$J$13,5,IF($J182='Auto Responses'!$J$12,10,IF($J182='Auto Responses'!$J$11,20,0)))))</f>
        <v>N/A</v>
      </c>
      <c r="P182" s="284" t="str">
        <f>IF(OR($O182='Auto Responses'!$J$5,$L182='Auto Responses'!$J$5),'Auto Responses'!$J$5,$O182*$L182)</f>
        <v>N/A</v>
      </c>
      <c r="Q182" s="284">
        <f t="shared" si="15"/>
        <v>0</v>
      </c>
      <c r="R182" s="284">
        <f t="shared" si="19"/>
        <v>0</v>
      </c>
      <c r="S182" s="284">
        <f t="shared" si="16"/>
        <v>0</v>
      </c>
      <c r="T182" s="284">
        <f t="shared" si="17"/>
        <v>1</v>
      </c>
      <c r="U182" s="284">
        <f t="shared" si="20"/>
        <v>54</v>
      </c>
      <c r="V182" s="284">
        <f t="shared" si="18"/>
        <v>54</v>
      </c>
    </row>
    <row r="183" spans="1:22" ht="55.5" customHeight="1" x14ac:dyDescent="0.2">
      <c r="A183" s="315" t="str">
        <f>Questions!$A183</f>
        <v>VULN-03</v>
      </c>
      <c r="B183" s="315" t="str">
        <f t="shared" si="14"/>
        <v>VULN</v>
      </c>
      <c r="C183" s="315" t="str">
        <f>VLOOKUP($A183,Questions!$A$3:$L$333,2,0)&amp;""</f>
        <v>Will you allow the institution to perform its own vulnerability testing and/or scanning of your systems and/or application, provided that testing is performed at a mutually agreed upon time and date?*</v>
      </c>
      <c r="D183" s="315" t="str">
        <f>VLOOKUP($A183,Questions!$A$3:$L$333,11,0)&amp;""</f>
        <v/>
      </c>
      <c r="E183" s="315" t="str">
        <f>VLOOKUP($A183,Questions!$A$3:$L$333,12,0)&amp;""</f>
        <v>Infrastructure</v>
      </c>
      <c r="F183" s="315" t="str">
        <f>VLOOKUP($A183,'Institution Evaluation'!$A$56:$K$345,3,0)&amp;""</f>
        <v>N/A</v>
      </c>
      <c r="G183" s="315" t="str">
        <f>VLOOKUP($A183,'Institution Evaluation'!$A$56:$K$345,7,0)&amp;""</f>
        <v>Yes</v>
      </c>
      <c r="H183" s="315" t="str">
        <f>VLOOKUP($A183,'Institution Evaluation'!$A$56:$K$345,8,0)&amp;""</f>
        <v/>
      </c>
      <c r="I183" s="315" t="str">
        <f>VLOOKUP($A183,'Institution Evaluation'!$A$56:$K$345,9,0)&amp;""</f>
        <v>Critical Importance</v>
      </c>
      <c r="J183" s="315" t="str">
        <f>VLOOKUP($A183,'Institution Evaluation'!$A$56:$K$345,10,0)&amp;""</f>
        <v/>
      </c>
      <c r="K183" s="315">
        <f>IF($I183='Auto Responses'!$J$11,20,IF($I183='Auto Responses'!$J$13,5,10))</f>
        <v>20</v>
      </c>
      <c r="L183" s="284">
        <f>IF($E183='Auto Responses'!$L$13, 'Auto Responses'!$J$5,IF(AND($D183='Auto Responses'!$J$27,$H183=""),'Auto Responses'!$J$5,IF(AND($D183='Auto Responses'!$J$27,$H183='Auto Responses'!$J$7),1,IF(AND($D183='Auto Responses'!$J$27,$H183='Auto Responses'!$J$8),0,IF(OR(AND($F183=$G183,$H183=""),$H183='Auto Responses'!$J$7),1,0)))))</f>
        <v>0</v>
      </c>
      <c r="M183" s="315" t="str">
        <f>VLOOKUP($A183,'Institution Evaluation'!$A$56:$K$345,11,0)&amp;""</f>
        <v>FALSCH</v>
      </c>
      <c r="N183" s="315">
        <f>IF($J183='Auto Responses'!$J$11,1,IF(AND($J183="",$I183='Auto Responses'!$J$11),1,0))</f>
        <v>1</v>
      </c>
      <c r="O183" s="284" t="str">
        <f>IF(OR($F$17='Auto Responses'!$J$4,$E183='Auto Responses'!$L$13,$F183='Auto Responses'!$J$5),'Auto Responses'!$J$5,IF($J183="",$K183,IF($J183='Auto Responses'!$J$13,5,IF($J183='Auto Responses'!$J$12,10,IF($J183='Auto Responses'!$J$11,20,0)))))</f>
        <v>N/A</v>
      </c>
      <c r="P183" s="284" t="str">
        <f>IF(OR($O183='Auto Responses'!$J$5,$L183='Auto Responses'!$J$5),'Auto Responses'!$J$5,$O183*$L183)</f>
        <v>N/A</v>
      </c>
      <c r="Q183" s="284">
        <f t="shared" si="15"/>
        <v>0</v>
      </c>
      <c r="R183" s="284">
        <f t="shared" si="19"/>
        <v>0</v>
      </c>
      <c r="S183" s="284">
        <f t="shared" si="16"/>
        <v>0</v>
      </c>
      <c r="T183" s="284">
        <f t="shared" si="17"/>
        <v>1</v>
      </c>
      <c r="U183" s="284">
        <f t="shared" si="20"/>
        <v>55</v>
      </c>
      <c r="V183" s="284">
        <f t="shared" si="18"/>
        <v>55</v>
      </c>
    </row>
    <row r="184" spans="1:22" ht="55.5" customHeight="1" x14ac:dyDescent="0.2">
      <c r="A184" s="315" t="str">
        <f>Questions!$A184</f>
        <v>VULN-04</v>
      </c>
      <c r="B184" s="315" t="str">
        <f t="shared" si="14"/>
        <v>VULN</v>
      </c>
      <c r="C184" s="315" t="str">
        <f>VLOOKUP($A184,Questions!$A$3:$L$333,2,0)&amp;""</f>
        <v>Have your systems and applications had a third-party security assessment completed in the last year?</v>
      </c>
      <c r="D184" s="315" t="str">
        <f>VLOOKUP($A184,Questions!$A$3:$L$333,11,0)&amp;""</f>
        <v/>
      </c>
      <c r="E184" s="315" t="str">
        <f>VLOOKUP($A184,Questions!$A$3:$L$333,12,0)&amp;""</f>
        <v>Infrastructure</v>
      </c>
      <c r="F184" s="315" t="str">
        <f>VLOOKUP($A184,'Institution Evaluation'!$A$56:$K$345,3,0)&amp;""</f>
        <v>N/A</v>
      </c>
      <c r="G184" s="315" t="str">
        <f>VLOOKUP($A184,'Institution Evaluation'!$A$56:$K$345,7,0)&amp;""</f>
        <v>Yes</v>
      </c>
      <c r="H184" s="315" t="str">
        <f>VLOOKUP($A184,'Institution Evaluation'!$A$56:$K$345,8,0)&amp;""</f>
        <v/>
      </c>
      <c r="I184" s="315" t="str">
        <f>VLOOKUP($A184,'Institution Evaluation'!$A$56:$K$345,9,0)&amp;""</f>
        <v>Standard Importance</v>
      </c>
      <c r="J184" s="315" t="str">
        <f>VLOOKUP($A184,'Institution Evaluation'!$A$56:$K$345,10,0)&amp;""</f>
        <v/>
      </c>
      <c r="K184" s="315">
        <f>IF($I184='Auto Responses'!$J$11,20,IF($I184='Auto Responses'!$J$13,5,10))</f>
        <v>10</v>
      </c>
      <c r="L184" s="284">
        <f>IF($E184='Auto Responses'!$L$13, 'Auto Responses'!$J$5,IF(AND($D184='Auto Responses'!$J$27,$H184=""),'Auto Responses'!$J$5,IF(AND($D184='Auto Responses'!$J$27,$H184='Auto Responses'!$J$7),1,IF(AND($D184='Auto Responses'!$J$27,$H184='Auto Responses'!$J$8),0,IF(OR(AND($F184=$G184,$H184=""),$H184='Auto Responses'!$J$7),1,0)))))</f>
        <v>0</v>
      </c>
      <c r="M184" s="315" t="str">
        <f>VLOOKUP($A184,'Institution Evaluation'!$A$56:$K$345,11,0)&amp;""</f>
        <v>FALSCH</v>
      </c>
      <c r="N184" s="315">
        <f>IF($J184='Auto Responses'!$J$11,1,IF(AND($J184="",$I184='Auto Responses'!$J$11),1,0))</f>
        <v>0</v>
      </c>
      <c r="O184" s="284" t="str">
        <f>IF(OR($F$17='Auto Responses'!$J$4,$E184='Auto Responses'!$L$13,$F184='Auto Responses'!$J$5),'Auto Responses'!$J$5,IF($J184="",$K184,IF($J184='Auto Responses'!$J$13,5,IF($J184='Auto Responses'!$J$12,10,IF($J184='Auto Responses'!$J$11,20,0)))))</f>
        <v>N/A</v>
      </c>
      <c r="P184" s="284" t="str">
        <f>IF(OR($O184='Auto Responses'!$J$5,$L184='Auto Responses'!$J$5),'Auto Responses'!$J$5,$O184*$L184)</f>
        <v>N/A</v>
      </c>
      <c r="Q184" s="284">
        <f t="shared" si="15"/>
        <v>0</v>
      </c>
      <c r="R184" s="284">
        <f t="shared" si="19"/>
        <v>0</v>
      </c>
      <c r="S184" s="284">
        <f t="shared" si="16"/>
        <v>0</v>
      </c>
      <c r="T184" s="284">
        <f t="shared" si="17"/>
        <v>0</v>
      </c>
      <c r="U184" s="284">
        <f t="shared" si="20"/>
        <v>55</v>
      </c>
      <c r="V184" s="284">
        <f t="shared" si="18"/>
        <v>0</v>
      </c>
    </row>
    <row r="185" spans="1:22" ht="55.5" customHeight="1" x14ac:dyDescent="0.2">
      <c r="A185" s="315" t="str">
        <f>Questions!$A185</f>
        <v>VULN-05</v>
      </c>
      <c r="B185" s="315" t="str">
        <f t="shared" si="14"/>
        <v>VULN</v>
      </c>
      <c r="C185" s="315" t="str">
        <f>VLOOKUP($A185,Questions!$A$3:$L$333,2,0)&amp;""</f>
        <v>Do you regularly scan for common web application security vulnerabilities (e.g., SQL injection, XSS, XSRF, etc.)?</v>
      </c>
      <c r="D185" s="315" t="str">
        <f>VLOOKUP($A185,Questions!$A$3:$L$333,11,0)&amp;""</f>
        <v/>
      </c>
      <c r="E185" s="315" t="str">
        <f>VLOOKUP($A185,Questions!$A$3:$L$333,12,0)&amp;""</f>
        <v>Infrastructure</v>
      </c>
      <c r="F185" s="315" t="str">
        <f>VLOOKUP($A185,'Institution Evaluation'!$A$56:$K$345,3,0)&amp;""</f>
        <v>N/A</v>
      </c>
      <c r="G185" s="315" t="str">
        <f>VLOOKUP($A185,'Institution Evaluation'!$A$56:$K$345,7,0)&amp;""</f>
        <v>Yes</v>
      </c>
      <c r="H185" s="315" t="str">
        <f>VLOOKUP($A185,'Institution Evaluation'!$A$56:$K$345,8,0)&amp;""</f>
        <v/>
      </c>
      <c r="I185" s="315" t="str">
        <f>VLOOKUP($A185,'Institution Evaluation'!$A$56:$K$345,9,0)&amp;""</f>
        <v>Standard Importance</v>
      </c>
      <c r="J185" s="315" t="str">
        <f>VLOOKUP($A185,'Institution Evaluation'!$A$56:$K$345,10,0)&amp;""</f>
        <v/>
      </c>
      <c r="K185" s="315">
        <f>IF($I185='Auto Responses'!$J$11,20,IF($I185='Auto Responses'!$J$13,5,10))</f>
        <v>10</v>
      </c>
      <c r="L185" s="284">
        <f>IF($E185='Auto Responses'!$L$13, 'Auto Responses'!$J$5,IF(AND($D185='Auto Responses'!$J$27,$H185=""),'Auto Responses'!$J$5,IF(AND($D185='Auto Responses'!$J$27,$H185='Auto Responses'!$J$7),1,IF(AND($D185='Auto Responses'!$J$27,$H185='Auto Responses'!$J$8),0,IF(OR(AND($F185=$G185,$H185=""),$H185='Auto Responses'!$J$7),1,0)))))</f>
        <v>0</v>
      </c>
      <c r="M185" s="315" t="str">
        <f>VLOOKUP($A185,'Institution Evaluation'!$A$56:$K$345,11,0)&amp;""</f>
        <v>FALSCH</v>
      </c>
      <c r="N185" s="315">
        <f>IF($J185='Auto Responses'!$J$11,1,IF(AND($J185="",$I185='Auto Responses'!$J$11),1,0))</f>
        <v>0</v>
      </c>
      <c r="O185" s="284" t="str">
        <f>IF(OR($F$17='Auto Responses'!$J$4,$E185='Auto Responses'!$L$13,$F185='Auto Responses'!$J$5),'Auto Responses'!$J$5,IF($J185="",$K185,IF($J185='Auto Responses'!$J$13,5,IF($J185='Auto Responses'!$J$12,10,IF($J185='Auto Responses'!$J$11,20,0)))))</f>
        <v>N/A</v>
      </c>
      <c r="P185" s="284" t="str">
        <f>IF(OR($O185='Auto Responses'!$J$5,$L185='Auto Responses'!$J$5),'Auto Responses'!$J$5,$O185*$L185)</f>
        <v>N/A</v>
      </c>
      <c r="Q185" s="284">
        <f t="shared" si="15"/>
        <v>0</v>
      </c>
      <c r="R185" s="284">
        <f t="shared" si="19"/>
        <v>0</v>
      </c>
      <c r="S185" s="284">
        <f t="shared" si="16"/>
        <v>0</v>
      </c>
      <c r="T185" s="284">
        <f t="shared" si="17"/>
        <v>0</v>
      </c>
      <c r="U185" s="284">
        <f t="shared" si="20"/>
        <v>55</v>
      </c>
      <c r="V185" s="284">
        <f t="shared" si="18"/>
        <v>0</v>
      </c>
    </row>
    <row r="186" spans="1:22" ht="55.5" customHeight="1" x14ac:dyDescent="0.2">
      <c r="A186" s="315" t="str">
        <f>Questions!$A186</f>
        <v>VULN-06</v>
      </c>
      <c r="B186" s="315" t="str">
        <f t="shared" si="14"/>
        <v>VULN</v>
      </c>
      <c r="C186" s="315" t="str">
        <f>VLOOKUP($A186,Questions!$A$3:$L$333,2,0)&amp;""</f>
        <v>Are your systems and applications regularly scanned externally for vulnerabilities?</v>
      </c>
      <c r="D186" s="315" t="str">
        <f>VLOOKUP($A186,Questions!$A$3:$L$333,11,0)&amp;""</f>
        <v/>
      </c>
      <c r="E186" s="315" t="str">
        <f>VLOOKUP($A186,Questions!$A$3:$L$333,12,0)&amp;""</f>
        <v>Infrastructure</v>
      </c>
      <c r="F186" s="315" t="str">
        <f>VLOOKUP($A186,'Institution Evaluation'!$A$56:$K$345,3,0)&amp;""</f>
        <v>N/A</v>
      </c>
      <c r="G186" s="315" t="str">
        <f>VLOOKUP($A186,'Institution Evaluation'!$A$56:$K$345,7,0)&amp;""</f>
        <v>Yes</v>
      </c>
      <c r="H186" s="315" t="str">
        <f>VLOOKUP($A186,'Institution Evaluation'!$A$56:$K$345,8,0)&amp;""</f>
        <v/>
      </c>
      <c r="I186" s="315" t="str">
        <f>VLOOKUP($A186,'Institution Evaluation'!$A$56:$K$345,9,0)&amp;""</f>
        <v>Minor Importance</v>
      </c>
      <c r="J186" s="315" t="str">
        <f>VLOOKUP($A186,'Institution Evaluation'!$A$56:$K$345,10,0)&amp;""</f>
        <v/>
      </c>
      <c r="K186" s="315">
        <f>IF($I186='Auto Responses'!$J$11,20,IF($I186='Auto Responses'!$J$13,5,10))</f>
        <v>5</v>
      </c>
      <c r="L186" s="284">
        <f>IF($E186='Auto Responses'!$L$13, 'Auto Responses'!$J$5,IF(AND($D186='Auto Responses'!$J$27,$H186=""),'Auto Responses'!$J$5,IF(AND($D186='Auto Responses'!$J$27,$H186='Auto Responses'!$J$7),1,IF(AND($D186='Auto Responses'!$J$27,$H186='Auto Responses'!$J$8),0,IF(OR(AND($F186=$G186,$H186=""),$H186='Auto Responses'!$J$7),1,0)))))</f>
        <v>0</v>
      </c>
      <c r="M186" s="315" t="str">
        <f>VLOOKUP($A186,'Institution Evaluation'!$A$56:$K$345,11,0)&amp;""</f>
        <v>FALSCH</v>
      </c>
      <c r="N186" s="315">
        <f>IF($J186='Auto Responses'!$J$11,1,IF(AND($J186="",$I186='Auto Responses'!$J$11),1,0))</f>
        <v>0</v>
      </c>
      <c r="O186" s="284" t="str">
        <f>IF(OR($F$17='Auto Responses'!$J$4,$E186='Auto Responses'!$L$13,$F186='Auto Responses'!$J$5),'Auto Responses'!$J$5,IF($J186="",$K186,IF($J186='Auto Responses'!$J$13,5,IF($J186='Auto Responses'!$J$12,10,IF($J186='Auto Responses'!$J$11,20,0)))))</f>
        <v>N/A</v>
      </c>
      <c r="P186" s="284" t="str">
        <f>IF(OR($O186='Auto Responses'!$J$5,$L186='Auto Responses'!$J$5),'Auto Responses'!$J$5,$O186*$L186)</f>
        <v>N/A</v>
      </c>
      <c r="Q186" s="284">
        <f t="shared" si="15"/>
        <v>0</v>
      </c>
      <c r="R186" s="284">
        <f t="shared" si="19"/>
        <v>0</v>
      </c>
      <c r="S186" s="284">
        <f t="shared" si="16"/>
        <v>0</v>
      </c>
      <c r="T186" s="284">
        <f t="shared" si="17"/>
        <v>0</v>
      </c>
      <c r="U186" s="284">
        <f t="shared" si="20"/>
        <v>55</v>
      </c>
      <c r="V186" s="284">
        <f t="shared" si="18"/>
        <v>0</v>
      </c>
    </row>
    <row r="187" spans="1:22" ht="55.5" customHeight="1" x14ac:dyDescent="0.2">
      <c r="A187" s="315" t="str">
        <f>Questions!$A187</f>
        <v>HIPA-01</v>
      </c>
      <c r="B187" s="315" t="str">
        <f t="shared" si="14"/>
        <v>HIPA</v>
      </c>
      <c r="C187" s="315" t="str">
        <f>VLOOKUP($A187,Questions!$A$3:$L$333,2,0)&amp;""</f>
        <v>Do your workforce members receive regular training related to the Health Insurance Portability and Accountability Act (HIPAA) Privacy and Security Rules and the HITECH Act?*</v>
      </c>
      <c r="D187" s="315" t="str">
        <f>VLOOKUP($A187,Questions!$A$3:$L$333,11,0)&amp;""</f>
        <v/>
      </c>
      <c r="E187" s="315" t="str">
        <f>VLOOKUP($A187,Questions!$A$3:$L$333,12,0)&amp;""</f>
        <v>Case-specific</v>
      </c>
      <c r="F187" s="315" t="str">
        <f>VLOOKUP($A187,'Institution Evaluation'!$A$56:$K$345,3,0)&amp;""</f>
        <v>N/A</v>
      </c>
      <c r="G187" s="315" t="str">
        <f>VLOOKUP($A187,'Institution Evaluation'!$A$56:$K$345,7,0)&amp;""</f>
        <v>Yes</v>
      </c>
      <c r="H187" s="315" t="str">
        <f>VLOOKUP($A187,'Institution Evaluation'!$A$56:$K$345,8,0)&amp;""</f>
        <v/>
      </c>
      <c r="I187" s="315" t="str">
        <f>VLOOKUP($A187,'Institution Evaluation'!$A$56:$K$345,9,0)&amp;""</f>
        <v>Critical Importance</v>
      </c>
      <c r="J187" s="315" t="str">
        <f>VLOOKUP($A187,'Institution Evaluation'!$A$56:$K$345,10,0)&amp;""</f>
        <v/>
      </c>
      <c r="K187" s="315">
        <f>IF($I187='Auto Responses'!$J$11,20,IF($I187='Auto Responses'!$J$13,5,10))</f>
        <v>20</v>
      </c>
      <c r="L187" s="284">
        <f>IF($E187='Auto Responses'!$L$13, 'Auto Responses'!$J$5,IF(AND($D187='Auto Responses'!$J$27,$H187=""),'Auto Responses'!$J$5,IF(AND($D187='Auto Responses'!$J$27,$H187='Auto Responses'!$J$7),1,IF(AND($D187='Auto Responses'!$J$27,$H187='Auto Responses'!$J$8),0,IF(OR(AND($F187=$G187,$H187=""),$H187='Auto Responses'!$J$7),1,0)))))</f>
        <v>0</v>
      </c>
      <c r="M187" s="315" t="str">
        <f>VLOOKUP($A187,'Institution Evaluation'!$A$56:$K$345,11,0)&amp;""</f>
        <v>FALSCH</v>
      </c>
      <c r="N187" s="315">
        <f>IF($J187='Auto Responses'!$J$11,1,IF(AND($J187="",$I187='Auto Responses'!$J$11),1,0))</f>
        <v>1</v>
      </c>
      <c r="O187" s="284" t="str">
        <f>IF(OR($F$21='Auto Responses'!$J$4,$E187='Auto Responses'!$L$13,$F187='Auto Responses'!$J$5),'Auto Responses'!$J$5,IF($J187="",$K187,IF($J187='Auto Responses'!$J$13,5,IF($J187='Auto Responses'!$J$12,10,IF($J187='Auto Responses'!$J$11,20,0)))))</f>
        <v>N/A</v>
      </c>
      <c r="P187" s="284" t="str">
        <f>IF(OR($O187='Auto Responses'!$J$5,$L187='Auto Responses'!$J$5),'Auto Responses'!$J$5,$O187*$L187)</f>
        <v>N/A</v>
      </c>
      <c r="Q187" s="284">
        <f t="shared" si="15"/>
        <v>0</v>
      </c>
      <c r="R187" s="284">
        <f t="shared" si="19"/>
        <v>0</v>
      </c>
      <c r="S187" s="284">
        <f t="shared" si="16"/>
        <v>0</v>
      </c>
      <c r="T187" s="284">
        <f t="shared" si="17"/>
        <v>1</v>
      </c>
      <c r="U187" s="284">
        <f t="shared" si="20"/>
        <v>56</v>
      </c>
      <c r="V187" s="284">
        <f t="shared" si="18"/>
        <v>56</v>
      </c>
    </row>
    <row r="188" spans="1:22" ht="55.5" customHeight="1" x14ac:dyDescent="0.2">
      <c r="A188" s="315" t="str">
        <f>Questions!$A188</f>
        <v>HIPA-02</v>
      </c>
      <c r="B188" s="315" t="str">
        <f t="shared" si="14"/>
        <v>HIPA</v>
      </c>
      <c r="C188" s="315" t="str">
        <f>VLOOKUP($A188,Questions!$A$3:$L$333,2,0)&amp;""</f>
        <v>Have you identified areas of risk?*</v>
      </c>
      <c r="D188" s="315" t="str">
        <f>VLOOKUP($A188,Questions!$A$3:$L$333,11,0)&amp;""</f>
        <v/>
      </c>
      <c r="E188" s="315" t="str">
        <f>VLOOKUP($A188,Questions!$A$3:$L$333,12,0)&amp;""</f>
        <v>Case-specific</v>
      </c>
      <c r="F188" s="315" t="str">
        <f>VLOOKUP($A188,'Institution Evaluation'!$A$56:$K$345,3,0)&amp;""</f>
        <v>N/A</v>
      </c>
      <c r="G188" s="315" t="str">
        <f>VLOOKUP($A188,'Institution Evaluation'!$A$56:$K$345,7,0)&amp;""</f>
        <v>Yes</v>
      </c>
      <c r="H188" s="315" t="str">
        <f>VLOOKUP($A188,'Institution Evaluation'!$A$56:$K$345,8,0)&amp;""</f>
        <v/>
      </c>
      <c r="I188" s="315" t="str">
        <f>VLOOKUP($A188,'Institution Evaluation'!$A$56:$K$345,9,0)&amp;""</f>
        <v>Critical Importance</v>
      </c>
      <c r="J188" s="315" t="str">
        <f>VLOOKUP($A188,'Institution Evaluation'!$A$56:$K$345,10,0)&amp;""</f>
        <v/>
      </c>
      <c r="K188" s="315">
        <f>IF($I188='Auto Responses'!$J$11,20,IF($I188='Auto Responses'!$J$13,5,10))</f>
        <v>20</v>
      </c>
      <c r="L188" s="284">
        <f>IF($E188='Auto Responses'!$L$13, 'Auto Responses'!$J$5,IF(AND($D188='Auto Responses'!$J$27,$H188=""),'Auto Responses'!$J$5,IF(AND($D188='Auto Responses'!$J$27,$H188='Auto Responses'!$J$7),1,IF(AND($D188='Auto Responses'!$J$27,$H188='Auto Responses'!$J$8),0,IF(OR(AND($F188=$G188,$H188=""),$H188='Auto Responses'!$J$7),1,0)))))</f>
        <v>0</v>
      </c>
      <c r="M188" s="315" t="str">
        <f>VLOOKUP($A188,'Institution Evaluation'!$A$56:$K$345,11,0)&amp;""</f>
        <v>FALSCH</v>
      </c>
      <c r="N188" s="315">
        <f>IF($J188='Auto Responses'!$J$11,1,IF(AND($J188="",$I188='Auto Responses'!$J$11),1,0))</f>
        <v>1</v>
      </c>
      <c r="O188" s="284" t="str">
        <f>IF(OR($F$21='Auto Responses'!$J$4,$E188='Auto Responses'!$L$13,$F188='Auto Responses'!$J$5),'Auto Responses'!$J$5,IF($J188="",$K188,IF($J188='Auto Responses'!$J$13,5,IF($J188='Auto Responses'!$J$12,10,IF($J188='Auto Responses'!$J$11,20,0)))))</f>
        <v>N/A</v>
      </c>
      <c r="P188" s="284" t="str">
        <f>IF(OR($O188='Auto Responses'!$J$5,$L188='Auto Responses'!$J$5),'Auto Responses'!$J$5,$O188*$L188)</f>
        <v>N/A</v>
      </c>
      <c r="Q188" s="284">
        <f t="shared" si="15"/>
        <v>0</v>
      </c>
      <c r="R188" s="284">
        <f t="shared" si="19"/>
        <v>0</v>
      </c>
      <c r="S188" s="284">
        <f t="shared" si="16"/>
        <v>0</v>
      </c>
      <c r="T188" s="284">
        <f t="shared" si="17"/>
        <v>1</v>
      </c>
      <c r="U188" s="284">
        <f t="shared" si="20"/>
        <v>57</v>
      </c>
      <c r="V188" s="284">
        <f t="shared" si="18"/>
        <v>57</v>
      </c>
    </row>
    <row r="189" spans="1:22" ht="55.5" customHeight="1" x14ac:dyDescent="0.2">
      <c r="A189" s="315" t="str">
        <f>Questions!$A189</f>
        <v>HIPA-03</v>
      </c>
      <c r="B189" s="315" t="str">
        <f t="shared" si="14"/>
        <v>HIPA</v>
      </c>
      <c r="C189" s="315" t="str">
        <f>VLOOKUP($A189,Questions!$A$3:$L$333,2,0)&amp;""</f>
        <v>Have the relevant policies/plans been tested?*</v>
      </c>
      <c r="D189" s="315" t="str">
        <f>VLOOKUP($A189,Questions!$A$3:$L$333,11,0)&amp;""</f>
        <v/>
      </c>
      <c r="E189" s="315" t="str">
        <f>VLOOKUP($A189,Questions!$A$3:$L$333,12,0)&amp;""</f>
        <v>Case-specific</v>
      </c>
      <c r="F189" s="315" t="str">
        <f>VLOOKUP($A189,'Institution Evaluation'!$A$56:$K$345,3,0)&amp;""</f>
        <v>N/A</v>
      </c>
      <c r="G189" s="315" t="str">
        <f>VLOOKUP($A189,'Institution Evaluation'!$A$56:$K$345,7,0)&amp;""</f>
        <v>Yes</v>
      </c>
      <c r="H189" s="315" t="str">
        <f>VLOOKUP($A189,'Institution Evaluation'!$A$56:$K$345,8,0)&amp;""</f>
        <v/>
      </c>
      <c r="I189" s="315" t="str">
        <f>VLOOKUP($A189,'Institution Evaluation'!$A$56:$K$345,9,0)&amp;""</f>
        <v>Critical Importance</v>
      </c>
      <c r="J189" s="315" t="str">
        <f>VLOOKUP($A189,'Institution Evaluation'!$A$56:$K$345,10,0)&amp;""</f>
        <v/>
      </c>
      <c r="K189" s="315">
        <f>IF($I189='Auto Responses'!$J$11,20,IF($I189='Auto Responses'!$J$13,5,10))</f>
        <v>20</v>
      </c>
      <c r="L189" s="284">
        <f>IF($E189='Auto Responses'!$L$13, 'Auto Responses'!$J$5,IF(AND($D189='Auto Responses'!$J$27,$H189=""),'Auto Responses'!$J$5,IF(AND($D189='Auto Responses'!$J$27,$H189='Auto Responses'!$J$7),1,IF(AND($D189='Auto Responses'!$J$27,$H189='Auto Responses'!$J$8),0,IF(OR(AND($F189=$G189,$H189=""),$H189='Auto Responses'!$J$7),1,0)))))</f>
        <v>0</v>
      </c>
      <c r="M189" s="315" t="str">
        <f>VLOOKUP($A189,'Institution Evaluation'!$A$56:$K$345,11,0)&amp;""</f>
        <v>FALSCH</v>
      </c>
      <c r="N189" s="315">
        <f>IF($J189='Auto Responses'!$J$11,1,IF(AND($J189="",$I189='Auto Responses'!$J$11),1,0))</f>
        <v>1</v>
      </c>
      <c r="O189" s="284" t="str">
        <f>IF(OR($F$21='Auto Responses'!$J$4,$E189='Auto Responses'!$L$13,$F189='Auto Responses'!$J$5),'Auto Responses'!$J$5,IF($J189="",$K189,IF($J189='Auto Responses'!$J$13,5,IF($J189='Auto Responses'!$J$12,10,IF($J189='Auto Responses'!$J$11,20,0)))))</f>
        <v>N/A</v>
      </c>
      <c r="P189" s="284" t="str">
        <f>IF(OR($O189='Auto Responses'!$J$5,$L189='Auto Responses'!$J$5),'Auto Responses'!$J$5,$O189*$L189)</f>
        <v>N/A</v>
      </c>
      <c r="Q189" s="284">
        <f t="shared" si="15"/>
        <v>0</v>
      </c>
      <c r="R189" s="284">
        <f t="shared" si="19"/>
        <v>0</v>
      </c>
      <c r="S189" s="284">
        <f t="shared" si="16"/>
        <v>0</v>
      </c>
      <c r="T189" s="284">
        <f t="shared" si="17"/>
        <v>1</v>
      </c>
      <c r="U189" s="284">
        <f t="shared" si="20"/>
        <v>58</v>
      </c>
      <c r="V189" s="284">
        <f t="shared" si="18"/>
        <v>58</v>
      </c>
    </row>
    <row r="190" spans="1:22" ht="55.5" customHeight="1" x14ac:dyDescent="0.2">
      <c r="A190" s="315" t="str">
        <f>Questions!$A190</f>
        <v>HIPA-04</v>
      </c>
      <c r="B190" s="315" t="str">
        <f t="shared" si="14"/>
        <v>HIPA</v>
      </c>
      <c r="C190" s="315" t="str">
        <f>VLOOKUP($A190,Questions!$A$3:$L$333,2,0)&amp;""</f>
        <v>Have you entered into a Business Associate Agreements with all subcontractors who may have access to protected health information (PHI)?*</v>
      </c>
      <c r="D190" s="315" t="str">
        <f>VLOOKUP($A190,Questions!$A$3:$L$333,11,0)&amp;""</f>
        <v/>
      </c>
      <c r="E190" s="315" t="str">
        <f>VLOOKUP($A190,Questions!$A$3:$L$333,12,0)&amp;""</f>
        <v>Case-specific</v>
      </c>
      <c r="F190" s="315" t="str">
        <f>VLOOKUP($A190,'Institution Evaluation'!$A$56:$K$345,3,0)&amp;""</f>
        <v>N/A</v>
      </c>
      <c r="G190" s="315" t="str">
        <f>VLOOKUP($A190,'Institution Evaluation'!$A$56:$K$345,7,0)&amp;""</f>
        <v>Yes</v>
      </c>
      <c r="H190" s="315" t="str">
        <f>VLOOKUP($A190,'Institution Evaluation'!$A$56:$K$345,8,0)&amp;""</f>
        <v/>
      </c>
      <c r="I190" s="315" t="str">
        <f>VLOOKUP($A190,'Institution Evaluation'!$A$56:$K$345,9,0)&amp;""</f>
        <v>Critical Importance</v>
      </c>
      <c r="J190" s="315" t="str">
        <f>VLOOKUP($A190,'Institution Evaluation'!$A$56:$K$345,10,0)&amp;""</f>
        <v/>
      </c>
      <c r="K190" s="315">
        <f>IF($I190='Auto Responses'!$J$11,20,IF($I190='Auto Responses'!$J$13,5,10))</f>
        <v>20</v>
      </c>
      <c r="L190" s="284">
        <f>IF($E190='Auto Responses'!$L$13, 'Auto Responses'!$J$5,IF(AND($D190='Auto Responses'!$J$27,$H190=""),'Auto Responses'!$J$5,IF(AND($D190='Auto Responses'!$J$27,$H190='Auto Responses'!$J$7),1,IF(AND($D190='Auto Responses'!$J$27,$H190='Auto Responses'!$J$8),0,IF(OR(AND($F190=$G190,$H190=""),$H190='Auto Responses'!$J$7),1,0)))))</f>
        <v>0</v>
      </c>
      <c r="M190" s="315" t="str">
        <f>VLOOKUP($A190,'Institution Evaluation'!$A$56:$K$345,11,0)&amp;""</f>
        <v>FALSCH</v>
      </c>
      <c r="N190" s="315">
        <f>IF($J190='Auto Responses'!$J$11,1,IF(AND($J190="",$I190='Auto Responses'!$J$11),1,0))</f>
        <v>1</v>
      </c>
      <c r="O190" s="284" t="str">
        <f>IF(OR($F$21='Auto Responses'!$J$4,$E190='Auto Responses'!$L$13,$F190='Auto Responses'!$J$5),'Auto Responses'!$J$5,IF($J190="",$K190,IF($J190='Auto Responses'!$J$13,5,IF($J190='Auto Responses'!$J$12,10,IF($J190='Auto Responses'!$J$11,20,0)))))</f>
        <v>N/A</v>
      </c>
      <c r="P190" s="284" t="str">
        <f>IF(OR($O190='Auto Responses'!$J$5,$L190='Auto Responses'!$J$5),'Auto Responses'!$J$5,$O190*$L190)</f>
        <v>N/A</v>
      </c>
      <c r="Q190" s="284">
        <f t="shared" si="15"/>
        <v>0</v>
      </c>
      <c r="R190" s="284">
        <f t="shared" si="19"/>
        <v>0</v>
      </c>
      <c r="S190" s="284">
        <f t="shared" si="16"/>
        <v>0</v>
      </c>
      <c r="T190" s="284">
        <f t="shared" si="17"/>
        <v>1</v>
      </c>
      <c r="U190" s="284">
        <f t="shared" si="20"/>
        <v>59</v>
      </c>
      <c r="V190" s="284">
        <f t="shared" si="18"/>
        <v>59</v>
      </c>
    </row>
    <row r="191" spans="1:22" ht="55.5" customHeight="1" x14ac:dyDescent="0.2">
      <c r="A191" s="315" t="str">
        <f>Questions!$A191</f>
        <v>HIPA-05</v>
      </c>
      <c r="B191" s="315" t="str">
        <f t="shared" si="14"/>
        <v>HIPA</v>
      </c>
      <c r="C191" s="315" t="str">
        <f>VLOOKUP($A191,Questions!$A$3:$L$333,2,0)&amp;""</f>
        <v>Do you monitor or receive information regarding changes in HIPAA regulations?</v>
      </c>
      <c r="D191" s="315" t="str">
        <f>VLOOKUP($A191,Questions!$A$3:$L$333,11,0)&amp;""</f>
        <v/>
      </c>
      <c r="E191" s="315" t="str">
        <f>VLOOKUP($A191,Questions!$A$3:$L$333,12,0)&amp;""</f>
        <v>Case-specific</v>
      </c>
      <c r="F191" s="315" t="str">
        <f>VLOOKUP($A191,'Institution Evaluation'!$A$56:$K$345,3,0)&amp;""</f>
        <v>N/A</v>
      </c>
      <c r="G191" s="315" t="str">
        <f>VLOOKUP($A191,'Institution Evaluation'!$A$56:$K$345,7,0)&amp;""</f>
        <v>Yes</v>
      </c>
      <c r="H191" s="315" t="str">
        <f>VLOOKUP($A191,'Institution Evaluation'!$A$56:$K$345,8,0)&amp;""</f>
        <v/>
      </c>
      <c r="I191" s="315" t="str">
        <f>VLOOKUP($A191,'Institution Evaluation'!$A$56:$K$345,9,0)&amp;""</f>
        <v>Standard Importance</v>
      </c>
      <c r="J191" s="315" t="str">
        <f>VLOOKUP($A191,'Institution Evaluation'!$A$56:$K$345,10,0)&amp;""</f>
        <v/>
      </c>
      <c r="K191" s="315">
        <f>IF($I191='Auto Responses'!$J$11,20,IF($I191='Auto Responses'!$J$13,5,10))</f>
        <v>10</v>
      </c>
      <c r="L191" s="284">
        <f>IF($E191='Auto Responses'!$L$13, 'Auto Responses'!$J$5,IF(AND($D191='Auto Responses'!$J$27,$H191=""),'Auto Responses'!$J$5,IF(AND($D191='Auto Responses'!$J$27,$H191='Auto Responses'!$J$7),1,IF(AND($D191='Auto Responses'!$J$27,$H191='Auto Responses'!$J$8),0,IF(OR(AND($F191=$G191,$H191=""),$H191='Auto Responses'!$J$7),1,0)))))</f>
        <v>0</v>
      </c>
      <c r="M191" s="315" t="str">
        <f>VLOOKUP($A191,'Institution Evaluation'!$A$56:$K$345,11,0)&amp;""</f>
        <v>FALSCH</v>
      </c>
      <c r="N191" s="315">
        <f>IF($J191='Auto Responses'!$J$11,1,IF(AND($J191="",$I191='Auto Responses'!$J$11),1,0))</f>
        <v>0</v>
      </c>
      <c r="O191" s="284" t="str">
        <f>IF(OR($F$21='Auto Responses'!$J$4,$E191='Auto Responses'!$L$13,$F191='Auto Responses'!$J$5),'Auto Responses'!$J$5,IF($J191="",$K191,IF($J191='Auto Responses'!$J$13,5,IF($J191='Auto Responses'!$J$12,10,IF($J191='Auto Responses'!$J$11,20,0)))))</f>
        <v>N/A</v>
      </c>
      <c r="P191" s="284" t="str">
        <f>IF(OR($O191='Auto Responses'!$J$5,$L191='Auto Responses'!$J$5),'Auto Responses'!$J$5,$O191*$L191)</f>
        <v>N/A</v>
      </c>
      <c r="Q191" s="284">
        <f t="shared" si="15"/>
        <v>0</v>
      </c>
      <c r="R191" s="284">
        <f t="shared" si="19"/>
        <v>0</v>
      </c>
      <c r="S191" s="284">
        <f t="shared" si="16"/>
        <v>0</v>
      </c>
      <c r="T191" s="284">
        <f t="shared" si="17"/>
        <v>0</v>
      </c>
      <c r="U191" s="284">
        <f t="shared" si="20"/>
        <v>59</v>
      </c>
      <c r="V191" s="284">
        <f t="shared" si="18"/>
        <v>0</v>
      </c>
    </row>
    <row r="192" spans="1:22" ht="55.5" customHeight="1" x14ac:dyDescent="0.2">
      <c r="A192" s="315" t="str">
        <f>Questions!$A192</f>
        <v>HIPA-06</v>
      </c>
      <c r="B192" s="315" t="str">
        <f t="shared" si="14"/>
        <v>HIPA</v>
      </c>
      <c r="C192" s="315" t="str">
        <f>VLOOKUP($A192,Questions!$A$3:$L$333,2,0)&amp;""</f>
        <v>Has your organization designated HIPAA Privacy and Security officers as required by the rules?</v>
      </c>
      <c r="D192" s="315" t="str">
        <f>VLOOKUP($A192,Questions!$A$3:$L$333,11,0)&amp;""</f>
        <v/>
      </c>
      <c r="E192" s="315" t="str">
        <f>VLOOKUP($A192,Questions!$A$3:$L$333,12,0)&amp;""</f>
        <v>Case-specific</v>
      </c>
      <c r="F192" s="315" t="str">
        <f>VLOOKUP($A192,'Institution Evaluation'!$A$56:$K$345,3,0)&amp;""</f>
        <v>N/A</v>
      </c>
      <c r="G192" s="315" t="str">
        <f>VLOOKUP($A192,'Institution Evaluation'!$A$56:$K$345,7,0)&amp;""</f>
        <v>Yes</v>
      </c>
      <c r="H192" s="315" t="str">
        <f>VLOOKUP($A192,'Institution Evaluation'!$A$56:$K$345,8,0)&amp;""</f>
        <v/>
      </c>
      <c r="I192" s="315" t="str">
        <f>VLOOKUP($A192,'Institution Evaluation'!$A$56:$K$345,9,0)&amp;""</f>
        <v>Standard Importance</v>
      </c>
      <c r="J192" s="315" t="str">
        <f>VLOOKUP($A192,'Institution Evaluation'!$A$56:$K$345,10,0)&amp;""</f>
        <v/>
      </c>
      <c r="K192" s="315">
        <f>IF($I192='Auto Responses'!$J$11,20,IF($I192='Auto Responses'!$J$13,5,10))</f>
        <v>10</v>
      </c>
      <c r="L192" s="284">
        <f>IF($E192='Auto Responses'!$L$13, 'Auto Responses'!$J$5,IF(AND($D192='Auto Responses'!$J$27,$H192=""),'Auto Responses'!$J$5,IF(AND($D192='Auto Responses'!$J$27,$H192='Auto Responses'!$J$7),1,IF(AND($D192='Auto Responses'!$J$27,$H192='Auto Responses'!$J$8),0,IF(OR(AND($F192=$G192,$H192=""),$H192='Auto Responses'!$J$7),1,0)))))</f>
        <v>0</v>
      </c>
      <c r="M192" s="315" t="str">
        <f>VLOOKUP($A192,'Institution Evaluation'!$A$56:$K$345,11,0)&amp;""</f>
        <v>FALSCH</v>
      </c>
      <c r="N192" s="315">
        <f>IF($J192='Auto Responses'!$J$11,1,IF(AND($J192="",$I192='Auto Responses'!$J$11),1,0))</f>
        <v>0</v>
      </c>
      <c r="O192" s="284" t="str">
        <f>IF(OR($F$21='Auto Responses'!$J$4,$E192='Auto Responses'!$L$13,$F192='Auto Responses'!$J$5),'Auto Responses'!$J$5,IF($J192="",$K192,IF($J192='Auto Responses'!$J$13,5,IF($J192='Auto Responses'!$J$12,10,IF($J192='Auto Responses'!$J$11,20,0)))))</f>
        <v>N/A</v>
      </c>
      <c r="P192" s="284" t="str">
        <f>IF(OR($O192='Auto Responses'!$J$5,$L192='Auto Responses'!$J$5),'Auto Responses'!$J$5,$O192*$L192)</f>
        <v>N/A</v>
      </c>
      <c r="Q192" s="284">
        <f t="shared" si="15"/>
        <v>0</v>
      </c>
      <c r="R192" s="284">
        <f t="shared" si="19"/>
        <v>0</v>
      </c>
      <c r="S192" s="284">
        <f t="shared" si="16"/>
        <v>0</v>
      </c>
      <c r="T192" s="284">
        <f t="shared" si="17"/>
        <v>0</v>
      </c>
      <c r="U192" s="284">
        <f t="shared" si="20"/>
        <v>59</v>
      </c>
      <c r="V192" s="284">
        <f t="shared" si="18"/>
        <v>0</v>
      </c>
    </row>
    <row r="193" spans="1:22" ht="55.5" customHeight="1" x14ac:dyDescent="0.2">
      <c r="A193" s="315" t="str">
        <f>Questions!$A193</f>
        <v>HIPA-07</v>
      </c>
      <c r="B193" s="315" t="str">
        <f t="shared" si="14"/>
        <v>HIPA</v>
      </c>
      <c r="C193" s="315" t="str">
        <f>VLOOKUP($A193,Questions!$A$3:$L$333,2,0)&amp;""</f>
        <v>Do you comply with the requirements of the Health Information Technology for Economic and Clinical Health Act (HITECH)?</v>
      </c>
      <c r="D193" s="315" t="str">
        <f>VLOOKUP($A193,Questions!$A$3:$L$333,11,0)&amp;""</f>
        <v/>
      </c>
      <c r="E193" s="315" t="str">
        <f>VLOOKUP($A193,Questions!$A$3:$L$333,12,0)&amp;""</f>
        <v>Case-specific</v>
      </c>
      <c r="F193" s="315" t="str">
        <f>VLOOKUP($A193,'Institution Evaluation'!$A$56:$K$345,3,0)&amp;""</f>
        <v>N/A</v>
      </c>
      <c r="G193" s="315" t="str">
        <f>VLOOKUP($A193,'Institution Evaluation'!$A$56:$K$345,7,0)&amp;""</f>
        <v>Yes</v>
      </c>
      <c r="H193" s="315" t="str">
        <f>VLOOKUP($A193,'Institution Evaluation'!$A$56:$K$345,8,0)&amp;""</f>
        <v/>
      </c>
      <c r="I193" s="315" t="str">
        <f>VLOOKUP($A193,'Institution Evaluation'!$A$56:$K$345,9,0)&amp;""</f>
        <v>Standard Importance</v>
      </c>
      <c r="J193" s="315" t="str">
        <f>VLOOKUP($A193,'Institution Evaluation'!$A$56:$K$345,10,0)&amp;""</f>
        <v/>
      </c>
      <c r="K193" s="315">
        <f>IF($I193='Auto Responses'!$J$11,20,IF($I193='Auto Responses'!$J$13,5,10))</f>
        <v>10</v>
      </c>
      <c r="L193" s="284">
        <f>IF($E193='Auto Responses'!$L$13, 'Auto Responses'!$J$5,IF(AND($D193='Auto Responses'!$J$27,$H193=""),'Auto Responses'!$J$5,IF(AND($D193='Auto Responses'!$J$27,$H193='Auto Responses'!$J$7),1,IF(AND($D193='Auto Responses'!$J$27,$H193='Auto Responses'!$J$8),0,IF(OR(AND($F193=$G193,$H193=""),$H193='Auto Responses'!$J$7),1,0)))))</f>
        <v>0</v>
      </c>
      <c r="M193" s="315" t="str">
        <f>VLOOKUP($A193,'Institution Evaluation'!$A$56:$K$345,11,0)&amp;""</f>
        <v>FALSCH</v>
      </c>
      <c r="N193" s="315">
        <f>IF($J193='Auto Responses'!$J$11,1,IF(AND($J193="",$I193='Auto Responses'!$J$11),1,0))</f>
        <v>0</v>
      </c>
      <c r="O193" s="284" t="str">
        <f>IF(OR($F$21='Auto Responses'!$J$4,$E193='Auto Responses'!$L$13,$F193='Auto Responses'!$J$5),'Auto Responses'!$J$5,IF($J193="",$K193,IF($J193='Auto Responses'!$J$13,5,IF($J193='Auto Responses'!$J$12,10,IF($J193='Auto Responses'!$J$11,20,0)))))</f>
        <v>N/A</v>
      </c>
      <c r="P193" s="284" t="str">
        <f>IF(OR($O193='Auto Responses'!$J$5,$L193='Auto Responses'!$J$5),'Auto Responses'!$J$5,$O193*$L193)</f>
        <v>N/A</v>
      </c>
      <c r="Q193" s="284">
        <f t="shared" si="15"/>
        <v>0</v>
      </c>
      <c r="R193" s="284">
        <f t="shared" si="19"/>
        <v>0</v>
      </c>
      <c r="S193" s="284">
        <f t="shared" si="16"/>
        <v>0</v>
      </c>
      <c r="T193" s="284">
        <f t="shared" si="17"/>
        <v>0</v>
      </c>
      <c r="U193" s="284">
        <f t="shared" si="20"/>
        <v>59</v>
      </c>
      <c r="V193" s="284">
        <f t="shared" si="18"/>
        <v>0</v>
      </c>
    </row>
    <row r="194" spans="1:22" ht="55.5" customHeight="1" x14ac:dyDescent="0.2">
      <c r="A194" s="315" t="str">
        <f>Questions!$A194</f>
        <v>HIPA-08</v>
      </c>
      <c r="B194" s="315" t="str">
        <f t="shared" si="14"/>
        <v>HIPA</v>
      </c>
      <c r="C194" s="315" t="str">
        <f>VLOOKUP($A194,Questions!$A$3:$L$333,2,0)&amp;""</f>
        <v>Have you conducted a risk analysis as required under the HIPAA Security Rule?</v>
      </c>
      <c r="D194" s="315" t="str">
        <f>VLOOKUP($A194,Questions!$A$3:$L$333,11,0)&amp;""</f>
        <v/>
      </c>
      <c r="E194" s="315" t="str">
        <f>VLOOKUP($A194,Questions!$A$3:$L$333,12,0)&amp;""</f>
        <v>Case-specific</v>
      </c>
      <c r="F194" s="315" t="str">
        <f>VLOOKUP($A194,'Institution Evaluation'!$A$56:$K$345,3,0)&amp;""</f>
        <v>N/A</v>
      </c>
      <c r="G194" s="315" t="str">
        <f>VLOOKUP($A194,'Institution Evaluation'!$A$56:$K$345,7,0)&amp;""</f>
        <v>Yes</v>
      </c>
      <c r="H194" s="315" t="str">
        <f>VLOOKUP($A194,'Institution Evaluation'!$A$56:$K$345,8,0)&amp;""</f>
        <v/>
      </c>
      <c r="I194" s="315" t="str">
        <f>VLOOKUP($A194,'Institution Evaluation'!$A$56:$K$345,9,0)&amp;""</f>
        <v>Standard Importance</v>
      </c>
      <c r="J194" s="315" t="str">
        <f>VLOOKUP($A194,'Institution Evaluation'!$A$56:$K$345,10,0)&amp;""</f>
        <v/>
      </c>
      <c r="K194" s="315">
        <f>IF($I194='Auto Responses'!$J$11,20,IF($I194='Auto Responses'!$J$13,5,10))</f>
        <v>10</v>
      </c>
      <c r="L194" s="284">
        <f>IF($E194='Auto Responses'!$L$13, 'Auto Responses'!$J$5,IF(AND($D194='Auto Responses'!$J$27,$H194=""),'Auto Responses'!$J$5,IF(AND($D194='Auto Responses'!$J$27,$H194='Auto Responses'!$J$7),1,IF(AND($D194='Auto Responses'!$J$27,$H194='Auto Responses'!$J$8),0,IF(OR(AND($F194=$G194,$H194=""),$H194='Auto Responses'!$J$7),1,0)))))</f>
        <v>0</v>
      </c>
      <c r="M194" s="315" t="str">
        <f>VLOOKUP($A194,'Institution Evaluation'!$A$56:$K$345,11,0)&amp;""</f>
        <v>FALSCH</v>
      </c>
      <c r="N194" s="315">
        <f>IF($J194='Auto Responses'!$J$11,1,IF(AND($J194="",$I194='Auto Responses'!$J$11),1,0))</f>
        <v>0</v>
      </c>
      <c r="O194" s="284" t="str">
        <f>IF(OR($F$21='Auto Responses'!$J$4,$E194='Auto Responses'!$L$13,$F194='Auto Responses'!$J$5),'Auto Responses'!$J$5,IF($J194="",$K194,IF($J194='Auto Responses'!$J$13,5,IF($J194='Auto Responses'!$J$12,10,IF($J194='Auto Responses'!$J$11,20,0)))))</f>
        <v>N/A</v>
      </c>
      <c r="P194" s="284" t="str">
        <f>IF(OR($O194='Auto Responses'!$J$5,$L194='Auto Responses'!$J$5),'Auto Responses'!$J$5,$O194*$L194)</f>
        <v>N/A</v>
      </c>
      <c r="Q194" s="284">
        <f t="shared" si="15"/>
        <v>0</v>
      </c>
      <c r="R194" s="284">
        <f t="shared" si="19"/>
        <v>0</v>
      </c>
      <c r="S194" s="284">
        <f t="shared" si="16"/>
        <v>0</v>
      </c>
      <c r="T194" s="284">
        <f t="shared" si="17"/>
        <v>0</v>
      </c>
      <c r="U194" s="284">
        <f t="shared" si="20"/>
        <v>59</v>
      </c>
      <c r="V194" s="284">
        <f t="shared" si="18"/>
        <v>0</v>
      </c>
    </row>
    <row r="195" spans="1:22" ht="55.5" customHeight="1" x14ac:dyDescent="0.2">
      <c r="A195" s="315" t="str">
        <f>Questions!$A195</f>
        <v>HIPA-09</v>
      </c>
      <c r="B195" s="315" t="str">
        <f t="shared" ref="B195:B258" si="21">LEFT(A195,4)</f>
        <v>HIPA</v>
      </c>
      <c r="C195" s="315" t="str">
        <f>VLOOKUP($A195,Questions!$A$3:$L$333,2,0)&amp;""</f>
        <v>Have you taken actions to mitigate the identified risks?</v>
      </c>
      <c r="D195" s="315" t="str">
        <f>VLOOKUP($A195,Questions!$A$3:$L$333,11,0)&amp;""</f>
        <v/>
      </c>
      <c r="E195" s="315" t="str">
        <f>VLOOKUP($A195,Questions!$A$3:$L$333,12,0)&amp;""</f>
        <v>Case-specific</v>
      </c>
      <c r="F195" s="315" t="str">
        <f>VLOOKUP($A195,'Institution Evaluation'!$A$56:$K$345,3,0)&amp;""</f>
        <v>N/A</v>
      </c>
      <c r="G195" s="315" t="str">
        <f>VLOOKUP($A195,'Institution Evaluation'!$A$56:$K$345,7,0)&amp;""</f>
        <v>Yes</v>
      </c>
      <c r="H195" s="315" t="str">
        <f>VLOOKUP($A195,'Institution Evaluation'!$A$56:$K$345,8,0)&amp;""</f>
        <v/>
      </c>
      <c r="I195" s="315" t="str">
        <f>VLOOKUP($A195,'Institution Evaluation'!$A$56:$K$345,9,0)&amp;""</f>
        <v>Standard Importance</v>
      </c>
      <c r="J195" s="315" t="str">
        <f>VLOOKUP($A195,'Institution Evaluation'!$A$56:$K$345,10,0)&amp;""</f>
        <v/>
      </c>
      <c r="K195" s="315">
        <f>IF($I195='Auto Responses'!$J$11,20,IF($I195='Auto Responses'!$J$13,5,10))</f>
        <v>10</v>
      </c>
      <c r="L195" s="284">
        <f>IF($E195='Auto Responses'!$L$13, 'Auto Responses'!$J$5,IF(AND($D195='Auto Responses'!$J$27,$H195=""),'Auto Responses'!$J$5,IF(AND($D195='Auto Responses'!$J$27,$H195='Auto Responses'!$J$7),1,IF(AND($D195='Auto Responses'!$J$27,$H195='Auto Responses'!$J$8),0,IF(OR(AND($F195=$G195,$H195=""),$H195='Auto Responses'!$J$7),1,0)))))</f>
        <v>0</v>
      </c>
      <c r="M195" s="315" t="str">
        <f>VLOOKUP($A195,'Institution Evaluation'!$A$56:$K$345,11,0)&amp;""</f>
        <v>FALSCH</v>
      </c>
      <c r="N195" s="315">
        <f>IF($J195='Auto Responses'!$J$11,1,IF(AND($J195="",$I195='Auto Responses'!$J$11),1,0))</f>
        <v>0</v>
      </c>
      <c r="O195" s="284" t="str">
        <f>IF(OR($F$21='Auto Responses'!$J$4,$E195='Auto Responses'!$L$13,$F195='Auto Responses'!$J$5),'Auto Responses'!$J$5,IF($J195="",$K195,IF($J195='Auto Responses'!$J$13,5,IF($J195='Auto Responses'!$J$12,10,IF($J195='Auto Responses'!$J$11,20,0)))))</f>
        <v>N/A</v>
      </c>
      <c r="P195" s="284" t="str">
        <f>IF(OR($O195='Auto Responses'!$J$5,$L195='Auto Responses'!$J$5),'Auto Responses'!$J$5,$O195*$L195)</f>
        <v>N/A</v>
      </c>
      <c r="Q195" s="284">
        <f t="shared" ref="Q195:Q258" si="22">IF(M195="TRUE",1,0)</f>
        <v>0</v>
      </c>
      <c r="R195" s="284">
        <f t="shared" si="19"/>
        <v>0</v>
      </c>
      <c r="S195" s="284">
        <f t="shared" ref="S195:S258" si="23">IF(Q195=0,0,R195)</f>
        <v>0</v>
      </c>
      <c r="T195" s="284">
        <f t="shared" ref="T195:T258" si="24">IF(N195=1,1,0)</f>
        <v>0</v>
      </c>
      <c r="U195" s="284">
        <f t="shared" si="20"/>
        <v>59</v>
      </c>
      <c r="V195" s="284">
        <f t="shared" ref="V195:V258" si="25">IF(T195=0,0,U195)</f>
        <v>0</v>
      </c>
    </row>
    <row r="196" spans="1:22" ht="55.5" customHeight="1" x14ac:dyDescent="0.2">
      <c r="A196" s="315" t="str">
        <f>Questions!$A196</f>
        <v>HIPA-10</v>
      </c>
      <c r="B196" s="315" t="str">
        <f t="shared" si="21"/>
        <v>HIPA</v>
      </c>
      <c r="C196" s="315" t="str">
        <f>VLOOKUP($A196,Questions!$A$3:$L$333,2,0)&amp;""</f>
        <v>Does your application require user and system administrator password changes at a frequency no greater than 90 days?</v>
      </c>
      <c r="D196" s="315" t="str">
        <f>VLOOKUP($A196,Questions!$A$3:$L$333,11,0)&amp;""</f>
        <v/>
      </c>
      <c r="E196" s="315" t="str">
        <f>VLOOKUP($A196,Questions!$A$3:$L$333,12,0)&amp;""</f>
        <v>Case-specific</v>
      </c>
      <c r="F196" s="315" t="str">
        <f>VLOOKUP($A196,'Institution Evaluation'!$A$56:$K$345,3,0)&amp;""</f>
        <v>N/A</v>
      </c>
      <c r="G196" s="315" t="str">
        <f>VLOOKUP($A196,'Institution Evaluation'!$A$56:$K$345,7,0)&amp;""</f>
        <v>Yes</v>
      </c>
      <c r="H196" s="315" t="str">
        <f>VLOOKUP($A196,'Institution Evaluation'!$A$56:$K$345,8,0)&amp;""</f>
        <v/>
      </c>
      <c r="I196" s="315" t="str">
        <f>VLOOKUP($A196,'Institution Evaluation'!$A$56:$K$345,9,0)&amp;""</f>
        <v>Standard Importance</v>
      </c>
      <c r="J196" s="315" t="str">
        <f>VLOOKUP($A196,'Institution Evaluation'!$A$56:$K$345,10,0)&amp;""</f>
        <v/>
      </c>
      <c r="K196" s="315">
        <f>IF($I196='Auto Responses'!$J$11,20,IF($I196='Auto Responses'!$J$13,5,10))</f>
        <v>10</v>
      </c>
      <c r="L196" s="284">
        <f>IF($E196='Auto Responses'!$L$13, 'Auto Responses'!$J$5,IF(AND($D196='Auto Responses'!$J$27,$H196=""),'Auto Responses'!$J$5,IF(AND($D196='Auto Responses'!$J$27,$H196='Auto Responses'!$J$7),1,IF(AND($D196='Auto Responses'!$J$27,$H196='Auto Responses'!$J$8),0,IF(OR(AND($F196=$G196,$H196=""),$H196='Auto Responses'!$J$7),1,0)))))</f>
        <v>0</v>
      </c>
      <c r="M196" s="315" t="str">
        <f>VLOOKUP($A196,'Institution Evaluation'!$A$56:$K$345,11,0)&amp;""</f>
        <v>FALSCH</v>
      </c>
      <c r="N196" s="315">
        <f>IF($J196='Auto Responses'!$J$11,1,IF(AND($J196="",$I196='Auto Responses'!$J$11),1,0))</f>
        <v>0</v>
      </c>
      <c r="O196" s="284" t="str">
        <f>IF(OR($F$21='Auto Responses'!$J$4,$E196='Auto Responses'!$L$13,$F196='Auto Responses'!$J$5),'Auto Responses'!$J$5,IF($J196="",$K196,IF($J196='Auto Responses'!$J$13,5,IF($J196='Auto Responses'!$J$12,10,IF($J196='Auto Responses'!$J$11,20,0)))))</f>
        <v>N/A</v>
      </c>
      <c r="P196" s="284" t="str">
        <f>IF(OR($O196='Auto Responses'!$J$5,$L196='Auto Responses'!$J$5),'Auto Responses'!$J$5,$O196*$L196)</f>
        <v>N/A</v>
      </c>
      <c r="Q196" s="284">
        <f t="shared" si="22"/>
        <v>0</v>
      </c>
      <c r="R196" s="284">
        <f t="shared" ref="R196:R259" si="26">R195+Q196</f>
        <v>0</v>
      </c>
      <c r="S196" s="284">
        <f t="shared" si="23"/>
        <v>0</v>
      </c>
      <c r="T196" s="284">
        <f t="shared" si="24"/>
        <v>0</v>
      </c>
      <c r="U196" s="284">
        <f t="shared" ref="U196:U259" si="27">U195+T196</f>
        <v>59</v>
      </c>
      <c r="V196" s="284">
        <f t="shared" si="25"/>
        <v>0</v>
      </c>
    </row>
    <row r="197" spans="1:22" ht="55.5" customHeight="1" x14ac:dyDescent="0.2">
      <c r="A197" s="315" t="str">
        <f>Questions!$A197</f>
        <v>HIPA-11</v>
      </c>
      <c r="B197" s="315" t="str">
        <f t="shared" si="21"/>
        <v>HIPA</v>
      </c>
      <c r="C197" s="315" t="str">
        <f>VLOOKUP($A197,Questions!$A$3:$L$333,2,0)&amp;""</f>
        <v>Does your application require users to set their own password after an administrator reset or on first use of the account?</v>
      </c>
      <c r="D197" s="315" t="str">
        <f>VLOOKUP($A197,Questions!$A$3:$L$333,11,0)&amp;""</f>
        <v/>
      </c>
      <c r="E197" s="315" t="str">
        <f>VLOOKUP($A197,Questions!$A$3:$L$333,12,0)&amp;""</f>
        <v>Case-specific</v>
      </c>
      <c r="F197" s="315" t="str">
        <f>VLOOKUP($A197,'Institution Evaluation'!$A$56:$K$345,3,0)&amp;""</f>
        <v>N/A</v>
      </c>
      <c r="G197" s="315" t="str">
        <f>VLOOKUP($A197,'Institution Evaluation'!$A$56:$K$345,7,0)&amp;""</f>
        <v>Yes</v>
      </c>
      <c r="H197" s="315" t="str">
        <f>VLOOKUP($A197,'Institution Evaluation'!$A$56:$K$345,8,0)&amp;""</f>
        <v/>
      </c>
      <c r="I197" s="315" t="str">
        <f>VLOOKUP($A197,'Institution Evaluation'!$A$56:$K$345,9,0)&amp;""</f>
        <v>Standard Importance</v>
      </c>
      <c r="J197" s="315" t="str">
        <f>VLOOKUP($A197,'Institution Evaluation'!$A$56:$K$345,10,0)&amp;""</f>
        <v/>
      </c>
      <c r="K197" s="315">
        <f>IF($I197='Auto Responses'!$J$11,20,IF($I197='Auto Responses'!$J$13,5,10))</f>
        <v>10</v>
      </c>
      <c r="L197" s="284">
        <f>IF($E197='Auto Responses'!$L$13, 'Auto Responses'!$J$5,IF(AND($D197='Auto Responses'!$J$27,$H197=""),'Auto Responses'!$J$5,IF(AND($D197='Auto Responses'!$J$27,$H197='Auto Responses'!$J$7),1,IF(AND($D197='Auto Responses'!$J$27,$H197='Auto Responses'!$J$8),0,IF(OR(AND($F197=$G197,$H197=""),$H197='Auto Responses'!$J$7),1,0)))))</f>
        <v>0</v>
      </c>
      <c r="M197" s="315" t="str">
        <f>VLOOKUP($A197,'Institution Evaluation'!$A$56:$K$345,11,0)&amp;""</f>
        <v>FALSCH</v>
      </c>
      <c r="N197" s="315">
        <f>IF($J197='Auto Responses'!$J$11,1,IF(AND($J197="",$I197='Auto Responses'!$J$11),1,0))</f>
        <v>0</v>
      </c>
      <c r="O197" s="284" t="str">
        <f>IF(OR($F$21='Auto Responses'!$J$4,$E197='Auto Responses'!$L$13,$F197='Auto Responses'!$J$5),'Auto Responses'!$J$5,IF($J197="",$K197,IF($J197='Auto Responses'!$J$13,5,IF($J197='Auto Responses'!$J$12,10,IF($J197='Auto Responses'!$J$11,20,0)))))</f>
        <v>N/A</v>
      </c>
      <c r="P197" s="284" t="str">
        <f>IF(OR($O197='Auto Responses'!$J$5,$L197='Auto Responses'!$J$5),'Auto Responses'!$J$5,$O197*$L197)</f>
        <v>N/A</v>
      </c>
      <c r="Q197" s="284">
        <f t="shared" si="22"/>
        <v>0</v>
      </c>
      <c r="R197" s="284">
        <f t="shared" si="26"/>
        <v>0</v>
      </c>
      <c r="S197" s="284">
        <f t="shared" si="23"/>
        <v>0</v>
      </c>
      <c r="T197" s="284">
        <f t="shared" si="24"/>
        <v>0</v>
      </c>
      <c r="U197" s="284">
        <f t="shared" si="27"/>
        <v>59</v>
      </c>
      <c r="V197" s="284">
        <f t="shared" si="25"/>
        <v>0</v>
      </c>
    </row>
    <row r="198" spans="1:22" ht="55.5" customHeight="1" x14ac:dyDescent="0.2">
      <c r="A198" s="315" t="str">
        <f>Questions!$A198</f>
        <v>HIPA-12</v>
      </c>
      <c r="B198" s="315" t="str">
        <f t="shared" si="21"/>
        <v>HIPA</v>
      </c>
      <c r="C198" s="315" t="str">
        <f>VLOOKUP($A198,Questions!$A$3:$L$333,2,0)&amp;""</f>
        <v>Does your application lock out an account after a number of failed login attempts?</v>
      </c>
      <c r="D198" s="315" t="str">
        <f>VLOOKUP($A198,Questions!$A$3:$L$333,11,0)&amp;""</f>
        <v/>
      </c>
      <c r="E198" s="315" t="str">
        <f>VLOOKUP($A198,Questions!$A$3:$L$333,12,0)&amp;""</f>
        <v>Case-specific</v>
      </c>
      <c r="F198" s="315" t="str">
        <f>VLOOKUP($A198,'Institution Evaluation'!$A$56:$K$345,3,0)&amp;""</f>
        <v>N/A</v>
      </c>
      <c r="G198" s="315" t="str">
        <f>VLOOKUP($A198,'Institution Evaluation'!$A$56:$K$345,7,0)&amp;""</f>
        <v>Yes</v>
      </c>
      <c r="H198" s="315" t="str">
        <f>VLOOKUP($A198,'Institution Evaluation'!$A$56:$K$345,8,0)&amp;""</f>
        <v/>
      </c>
      <c r="I198" s="315" t="str">
        <f>VLOOKUP($A198,'Institution Evaluation'!$A$56:$K$345,9,0)&amp;""</f>
        <v>Standard Importance</v>
      </c>
      <c r="J198" s="315" t="str">
        <f>VLOOKUP($A198,'Institution Evaluation'!$A$56:$K$345,10,0)&amp;""</f>
        <v/>
      </c>
      <c r="K198" s="315">
        <f>IF($I198='Auto Responses'!$J$11,20,IF($I198='Auto Responses'!$J$13,5,10))</f>
        <v>10</v>
      </c>
      <c r="L198" s="284">
        <f>IF($E198='Auto Responses'!$L$13, 'Auto Responses'!$J$5,IF(AND($D198='Auto Responses'!$J$27,$H198=""),'Auto Responses'!$J$5,IF(AND($D198='Auto Responses'!$J$27,$H198='Auto Responses'!$J$7),1,IF(AND($D198='Auto Responses'!$J$27,$H198='Auto Responses'!$J$8),0,IF(OR(AND($F198=$G198,$H198=""),$H198='Auto Responses'!$J$7),1,0)))))</f>
        <v>0</v>
      </c>
      <c r="M198" s="315" t="str">
        <f>VLOOKUP($A198,'Institution Evaluation'!$A$56:$K$345,11,0)&amp;""</f>
        <v>FALSCH</v>
      </c>
      <c r="N198" s="315">
        <f>IF($J198='Auto Responses'!$J$11,1,IF(AND($J198="",$I198='Auto Responses'!$J$11),1,0))</f>
        <v>0</v>
      </c>
      <c r="O198" s="284" t="str">
        <f>IF(OR($F$21='Auto Responses'!$J$4,$E198='Auto Responses'!$L$13,$F198='Auto Responses'!$J$5),'Auto Responses'!$J$5,IF($J198="",$K198,IF($J198='Auto Responses'!$J$13,5,IF($J198='Auto Responses'!$J$12,10,IF($J198='Auto Responses'!$J$11,20,0)))))</f>
        <v>N/A</v>
      </c>
      <c r="P198" s="284" t="str">
        <f>IF(OR($O198='Auto Responses'!$J$5,$L198='Auto Responses'!$J$5),'Auto Responses'!$J$5,$O198*$L198)</f>
        <v>N/A</v>
      </c>
      <c r="Q198" s="284">
        <f t="shared" si="22"/>
        <v>0</v>
      </c>
      <c r="R198" s="284">
        <f t="shared" si="26"/>
        <v>0</v>
      </c>
      <c r="S198" s="284">
        <f t="shared" si="23"/>
        <v>0</v>
      </c>
      <c r="T198" s="284">
        <f t="shared" si="24"/>
        <v>0</v>
      </c>
      <c r="U198" s="284">
        <f t="shared" si="27"/>
        <v>59</v>
      </c>
      <c r="V198" s="284">
        <f t="shared" si="25"/>
        <v>0</v>
      </c>
    </row>
    <row r="199" spans="1:22" ht="55.5" customHeight="1" x14ac:dyDescent="0.2">
      <c r="A199" s="315" t="str">
        <f>Questions!$A199</f>
        <v>HIPA-13</v>
      </c>
      <c r="B199" s="315" t="str">
        <f t="shared" si="21"/>
        <v>HIPA</v>
      </c>
      <c r="C199" s="315" t="str">
        <f>VLOOKUP($A199,Questions!$A$3:$L$333,2,0)&amp;""</f>
        <v>Does your application automatically lock or log-out an account after a period of inactivity?</v>
      </c>
      <c r="D199" s="315" t="str">
        <f>VLOOKUP($A199,Questions!$A$3:$L$333,11,0)&amp;""</f>
        <v/>
      </c>
      <c r="E199" s="315" t="str">
        <f>VLOOKUP($A199,Questions!$A$3:$L$333,12,0)&amp;""</f>
        <v>Case-specific</v>
      </c>
      <c r="F199" s="315" t="str">
        <f>VLOOKUP($A199,'Institution Evaluation'!$A$56:$K$345,3,0)&amp;""</f>
        <v>N/A</v>
      </c>
      <c r="G199" s="315" t="str">
        <f>VLOOKUP($A199,'Institution Evaluation'!$A$56:$K$345,7,0)&amp;""</f>
        <v>Yes</v>
      </c>
      <c r="H199" s="315" t="str">
        <f>VLOOKUP($A199,'Institution Evaluation'!$A$56:$K$345,8,0)&amp;""</f>
        <v/>
      </c>
      <c r="I199" s="315" t="str">
        <f>VLOOKUP($A199,'Institution Evaluation'!$A$56:$K$345,9,0)&amp;""</f>
        <v>Standard Importance</v>
      </c>
      <c r="J199" s="315" t="str">
        <f>VLOOKUP($A199,'Institution Evaluation'!$A$56:$K$345,10,0)&amp;""</f>
        <v/>
      </c>
      <c r="K199" s="315">
        <f>IF($I199='Auto Responses'!$J$11,20,IF($I199='Auto Responses'!$J$13,5,10))</f>
        <v>10</v>
      </c>
      <c r="L199" s="284">
        <f>IF($E199='Auto Responses'!$L$13, 'Auto Responses'!$J$5,IF(AND($D199='Auto Responses'!$J$27,$H199=""),'Auto Responses'!$J$5,IF(AND($D199='Auto Responses'!$J$27,$H199='Auto Responses'!$J$7),1,IF(AND($D199='Auto Responses'!$J$27,$H199='Auto Responses'!$J$8),0,IF(OR(AND($F199=$G199,$H199=""),$H199='Auto Responses'!$J$7),1,0)))))</f>
        <v>0</v>
      </c>
      <c r="M199" s="315" t="str">
        <f>VLOOKUP($A199,'Institution Evaluation'!$A$56:$K$345,11,0)&amp;""</f>
        <v>FALSCH</v>
      </c>
      <c r="N199" s="315">
        <f>IF($J199='Auto Responses'!$J$11,1,IF(AND($J199="",$I199='Auto Responses'!$J$11),1,0))</f>
        <v>0</v>
      </c>
      <c r="O199" s="284" t="str">
        <f>IF(OR($F$21='Auto Responses'!$J$4,$E199='Auto Responses'!$L$13,$F199='Auto Responses'!$J$5),'Auto Responses'!$J$5,IF($J199="",$K199,IF($J199='Auto Responses'!$J$13,5,IF($J199='Auto Responses'!$J$12,10,IF($J199='Auto Responses'!$J$11,20,0)))))</f>
        <v>N/A</v>
      </c>
      <c r="P199" s="284" t="str">
        <f>IF(OR($O199='Auto Responses'!$J$5,$L199='Auto Responses'!$J$5),'Auto Responses'!$J$5,$O199*$L199)</f>
        <v>N/A</v>
      </c>
      <c r="Q199" s="284">
        <f t="shared" si="22"/>
        <v>0</v>
      </c>
      <c r="R199" s="284">
        <f t="shared" si="26"/>
        <v>0</v>
      </c>
      <c r="S199" s="284">
        <f t="shared" si="23"/>
        <v>0</v>
      </c>
      <c r="T199" s="284">
        <f t="shared" si="24"/>
        <v>0</v>
      </c>
      <c r="U199" s="284">
        <f t="shared" si="27"/>
        <v>59</v>
      </c>
      <c r="V199" s="284">
        <f t="shared" si="25"/>
        <v>0</v>
      </c>
    </row>
    <row r="200" spans="1:22" ht="55.5" customHeight="1" x14ac:dyDescent="0.2">
      <c r="A200" s="315" t="str">
        <f>Questions!$A200</f>
        <v>HIPA-14</v>
      </c>
      <c r="B200" s="315" t="str">
        <f t="shared" si="21"/>
        <v>HIPA</v>
      </c>
      <c r="C200" s="315" t="str">
        <f>VLOOKUP($A200,Questions!$A$3:$L$333,2,0)&amp;""</f>
        <v>Are passwords visible in plain text, whether when stored or entered, including service level accounts (i.e., database accounts, etc.)?</v>
      </c>
      <c r="D200" s="315" t="str">
        <f>VLOOKUP($A200,Questions!$A$3:$L$333,11,0)&amp;""</f>
        <v/>
      </c>
      <c r="E200" s="315" t="str">
        <f>VLOOKUP($A200,Questions!$A$3:$L$333,12,0)&amp;""</f>
        <v>Case-specific</v>
      </c>
      <c r="F200" s="315" t="str">
        <f>VLOOKUP($A200,'Institution Evaluation'!$A$56:$K$345,3,0)&amp;""</f>
        <v>N/A</v>
      </c>
      <c r="G200" s="315" t="str">
        <f>VLOOKUP($A200,'Institution Evaluation'!$A$56:$K$345,7,0)&amp;""</f>
        <v>No</v>
      </c>
      <c r="H200" s="315" t="str">
        <f>VLOOKUP($A200,'Institution Evaluation'!$A$56:$K$345,8,0)&amp;""</f>
        <v/>
      </c>
      <c r="I200" s="315" t="str">
        <f>VLOOKUP($A200,'Institution Evaluation'!$A$56:$K$345,9,0)&amp;""</f>
        <v>Standard Importance</v>
      </c>
      <c r="J200" s="315" t="str">
        <f>VLOOKUP($A200,'Institution Evaluation'!$A$56:$K$345,10,0)&amp;""</f>
        <v/>
      </c>
      <c r="K200" s="315">
        <f>IF($I200='Auto Responses'!$J$11,20,IF($I200='Auto Responses'!$J$13,5,10))</f>
        <v>10</v>
      </c>
      <c r="L200" s="284">
        <f>IF($E200='Auto Responses'!$L$13, 'Auto Responses'!$J$5,IF(AND($D200='Auto Responses'!$J$27,$H200=""),'Auto Responses'!$J$5,IF(AND($D200='Auto Responses'!$J$27,$H200='Auto Responses'!$J$7),1,IF(AND($D200='Auto Responses'!$J$27,$H200='Auto Responses'!$J$8),0,IF(OR(AND($F200=$G200,$H200=""),$H200='Auto Responses'!$J$7),1,0)))))</f>
        <v>0</v>
      </c>
      <c r="M200" s="315" t="str">
        <f>VLOOKUP($A200,'Institution Evaluation'!$A$56:$K$345,11,0)&amp;""</f>
        <v>FALSCH</v>
      </c>
      <c r="N200" s="315">
        <f>IF($J200='Auto Responses'!$J$11,1,IF(AND($J200="",$I200='Auto Responses'!$J$11),1,0))</f>
        <v>0</v>
      </c>
      <c r="O200" s="284" t="str">
        <f>IF(OR($F$21='Auto Responses'!$J$4,$E200='Auto Responses'!$L$13,$F200='Auto Responses'!$J$5),'Auto Responses'!$J$5,IF($J200="",$K200,IF($J200='Auto Responses'!$J$13,5,IF($J200='Auto Responses'!$J$12,10,IF($J200='Auto Responses'!$J$11,20,0)))))</f>
        <v>N/A</v>
      </c>
      <c r="P200" s="284" t="str">
        <f>IF(OR($O200='Auto Responses'!$J$5,$L200='Auto Responses'!$J$5),'Auto Responses'!$J$5,$O200*$L200)</f>
        <v>N/A</v>
      </c>
      <c r="Q200" s="284">
        <f t="shared" si="22"/>
        <v>0</v>
      </c>
      <c r="R200" s="284">
        <f t="shared" si="26"/>
        <v>0</v>
      </c>
      <c r="S200" s="284">
        <f t="shared" si="23"/>
        <v>0</v>
      </c>
      <c r="T200" s="284">
        <f t="shared" si="24"/>
        <v>0</v>
      </c>
      <c r="U200" s="284">
        <f t="shared" si="27"/>
        <v>59</v>
      </c>
      <c r="V200" s="284">
        <f t="shared" si="25"/>
        <v>0</v>
      </c>
    </row>
    <row r="201" spans="1:22" ht="55.5" customHeight="1" x14ac:dyDescent="0.2">
      <c r="A201" s="315" t="str">
        <f>Questions!$A201</f>
        <v>HIPA-15</v>
      </c>
      <c r="B201" s="315" t="str">
        <f t="shared" si="21"/>
        <v>HIPA</v>
      </c>
      <c r="C201" s="315" t="str">
        <f>VLOOKUP($A201,Questions!$A$3:$L$333,2,0)&amp;""</f>
        <v>If the application is institution-hosted, can all service level and administrative account passwords be changed by the institution?</v>
      </c>
      <c r="D201" s="315" t="str">
        <f>VLOOKUP($A201,Questions!$A$3:$L$333,11,0)&amp;""</f>
        <v/>
      </c>
      <c r="E201" s="315" t="str">
        <f>VLOOKUP($A201,Questions!$A$3:$L$333,12,0)&amp;""</f>
        <v>Case-specific</v>
      </c>
      <c r="F201" s="315" t="str">
        <f>VLOOKUP($A201,'Institution Evaluation'!$A$56:$K$345,3,0)&amp;""</f>
        <v>N/A</v>
      </c>
      <c r="G201" s="315" t="str">
        <f>VLOOKUP($A201,'Institution Evaluation'!$A$56:$K$345,7,0)&amp;""</f>
        <v>Yes</v>
      </c>
      <c r="H201" s="315" t="str">
        <f>VLOOKUP($A201,'Institution Evaluation'!$A$56:$K$345,8,0)&amp;""</f>
        <v/>
      </c>
      <c r="I201" s="315" t="str">
        <f>VLOOKUP($A201,'Institution Evaluation'!$A$56:$K$345,9,0)&amp;""</f>
        <v>Standard Importance</v>
      </c>
      <c r="J201" s="315" t="str">
        <f>VLOOKUP($A201,'Institution Evaluation'!$A$56:$K$345,10,0)&amp;""</f>
        <v/>
      </c>
      <c r="K201" s="315">
        <f>IF($I201='Auto Responses'!$J$11,20,IF($I201='Auto Responses'!$J$13,5,10))</f>
        <v>10</v>
      </c>
      <c r="L201" s="284">
        <f>IF($E201='Auto Responses'!$L$13, 'Auto Responses'!$J$5,IF(AND($D201='Auto Responses'!$J$27,$H201=""),'Auto Responses'!$J$5,IF(AND($D201='Auto Responses'!$J$27,$H201='Auto Responses'!$J$7),1,IF(AND($D201='Auto Responses'!$J$27,$H201='Auto Responses'!$J$8),0,IF(OR(AND($F201=$G201,$H201=""),$H201='Auto Responses'!$J$7),1,0)))))</f>
        <v>0</v>
      </c>
      <c r="M201" s="315" t="str">
        <f>VLOOKUP($A201,'Institution Evaluation'!$A$56:$K$345,11,0)&amp;""</f>
        <v>FALSCH</v>
      </c>
      <c r="N201" s="315">
        <f>IF($J201='Auto Responses'!$J$11,1,IF(AND($J201="",$I201='Auto Responses'!$J$11),1,0))</f>
        <v>0</v>
      </c>
      <c r="O201" s="284" t="str">
        <f>IF(OR($F$21='Auto Responses'!$J$4,$E201='Auto Responses'!$L$13,$F201='Auto Responses'!$J$5),'Auto Responses'!$J$5,IF($J201="",$K201,IF($J201='Auto Responses'!$J$13,5,IF($J201='Auto Responses'!$J$12,10,IF($J201='Auto Responses'!$J$11,20,0)))))</f>
        <v>N/A</v>
      </c>
      <c r="P201" s="284" t="str">
        <f>IF(OR($O201='Auto Responses'!$J$5,$L201='Auto Responses'!$J$5),'Auto Responses'!$J$5,$O201*$L201)</f>
        <v>N/A</v>
      </c>
      <c r="Q201" s="284">
        <f t="shared" si="22"/>
        <v>0</v>
      </c>
      <c r="R201" s="284">
        <f t="shared" si="26"/>
        <v>0</v>
      </c>
      <c r="S201" s="284">
        <f t="shared" si="23"/>
        <v>0</v>
      </c>
      <c r="T201" s="284">
        <f t="shared" si="24"/>
        <v>0</v>
      </c>
      <c r="U201" s="284">
        <f t="shared" si="27"/>
        <v>59</v>
      </c>
      <c r="V201" s="284">
        <f t="shared" si="25"/>
        <v>0</v>
      </c>
    </row>
    <row r="202" spans="1:22" ht="55.5" customHeight="1" x14ac:dyDescent="0.2">
      <c r="A202" s="315" t="str">
        <f>Questions!$A202</f>
        <v>HIPA-16</v>
      </c>
      <c r="B202" s="315" t="str">
        <f t="shared" si="21"/>
        <v>HIPA</v>
      </c>
      <c r="C202" s="315" t="str">
        <f>VLOOKUP($A202,Questions!$A$3:$L$333,2,0)&amp;""</f>
        <v>Does your application provide the ability to define user access levels?</v>
      </c>
      <c r="D202" s="315" t="str">
        <f>VLOOKUP($A202,Questions!$A$3:$L$333,11,0)&amp;""</f>
        <v/>
      </c>
      <c r="E202" s="315" t="str">
        <f>VLOOKUP($A202,Questions!$A$3:$L$333,12,0)&amp;""</f>
        <v>Case-specific</v>
      </c>
      <c r="F202" s="315" t="str">
        <f>VLOOKUP($A202,'Institution Evaluation'!$A$56:$K$345,3,0)&amp;""</f>
        <v>N/A</v>
      </c>
      <c r="G202" s="315" t="str">
        <f>VLOOKUP($A202,'Institution Evaluation'!$A$56:$K$345,7,0)&amp;""</f>
        <v>Yes</v>
      </c>
      <c r="H202" s="315" t="str">
        <f>VLOOKUP($A202,'Institution Evaluation'!$A$56:$K$345,8,0)&amp;""</f>
        <v/>
      </c>
      <c r="I202" s="315" t="str">
        <f>VLOOKUP($A202,'Institution Evaluation'!$A$56:$K$345,9,0)&amp;""</f>
        <v>Standard Importance</v>
      </c>
      <c r="J202" s="315" t="str">
        <f>VLOOKUP($A202,'Institution Evaluation'!$A$56:$K$345,10,0)&amp;""</f>
        <v/>
      </c>
      <c r="K202" s="315">
        <f>IF($I202='Auto Responses'!$J$11,20,IF($I202='Auto Responses'!$J$13,5,10))</f>
        <v>10</v>
      </c>
      <c r="L202" s="284">
        <f>IF($E202='Auto Responses'!$L$13, 'Auto Responses'!$J$5,IF(AND($D202='Auto Responses'!$J$27,$H202=""),'Auto Responses'!$J$5,IF(AND($D202='Auto Responses'!$J$27,$H202='Auto Responses'!$J$7),1,IF(AND($D202='Auto Responses'!$J$27,$H202='Auto Responses'!$J$8),0,IF(OR(AND($F202=$G202,$H202=""),$H202='Auto Responses'!$J$7),1,0)))))</f>
        <v>0</v>
      </c>
      <c r="M202" s="315" t="str">
        <f>VLOOKUP($A202,'Institution Evaluation'!$A$56:$K$345,11,0)&amp;""</f>
        <v>FALSCH</v>
      </c>
      <c r="N202" s="315">
        <f>IF($J202='Auto Responses'!$J$11,1,IF(AND($J202="",$I202='Auto Responses'!$J$11),1,0))</f>
        <v>0</v>
      </c>
      <c r="O202" s="284" t="str">
        <f>IF(OR($F$21='Auto Responses'!$J$4,$E202='Auto Responses'!$L$13,$F202='Auto Responses'!$J$5),'Auto Responses'!$J$5,IF($J202="",$K202,IF($J202='Auto Responses'!$J$13,5,IF($J202='Auto Responses'!$J$12,10,IF($J202='Auto Responses'!$J$11,20,0)))))</f>
        <v>N/A</v>
      </c>
      <c r="P202" s="284" t="str">
        <f>IF(OR($O202='Auto Responses'!$J$5,$L202='Auto Responses'!$J$5),'Auto Responses'!$J$5,$O202*$L202)</f>
        <v>N/A</v>
      </c>
      <c r="Q202" s="284">
        <f t="shared" si="22"/>
        <v>0</v>
      </c>
      <c r="R202" s="284">
        <f t="shared" si="26"/>
        <v>0</v>
      </c>
      <c r="S202" s="284">
        <f t="shared" si="23"/>
        <v>0</v>
      </c>
      <c r="T202" s="284">
        <f t="shared" si="24"/>
        <v>0</v>
      </c>
      <c r="U202" s="284">
        <f t="shared" si="27"/>
        <v>59</v>
      </c>
      <c r="V202" s="284">
        <f t="shared" si="25"/>
        <v>0</v>
      </c>
    </row>
    <row r="203" spans="1:22" ht="55.5" customHeight="1" x14ac:dyDescent="0.2">
      <c r="A203" s="315" t="str">
        <f>Questions!$A203</f>
        <v>HIPA-17</v>
      </c>
      <c r="B203" s="315" t="str">
        <f t="shared" si="21"/>
        <v>HIPA</v>
      </c>
      <c r="C203" s="315" t="str">
        <f>VLOOKUP($A203,Questions!$A$3:$L$333,2,0)&amp;""</f>
        <v>Does your application support varying levels of access to administrative tasks defined individually per user?</v>
      </c>
      <c r="D203" s="315" t="str">
        <f>VLOOKUP($A203,Questions!$A$3:$L$333,11,0)&amp;""</f>
        <v/>
      </c>
      <c r="E203" s="315" t="str">
        <f>VLOOKUP($A203,Questions!$A$3:$L$333,12,0)&amp;""</f>
        <v>Case-specific</v>
      </c>
      <c r="F203" s="315" t="str">
        <f>VLOOKUP($A203,'Institution Evaluation'!$A$56:$K$345,3,0)&amp;""</f>
        <v>N/A</v>
      </c>
      <c r="G203" s="315" t="str">
        <f>VLOOKUP($A203,'Institution Evaluation'!$A$56:$K$345,7,0)&amp;""</f>
        <v>Yes</v>
      </c>
      <c r="H203" s="315" t="str">
        <f>VLOOKUP($A203,'Institution Evaluation'!$A$56:$K$345,8,0)&amp;""</f>
        <v/>
      </c>
      <c r="I203" s="315" t="str">
        <f>VLOOKUP($A203,'Institution Evaluation'!$A$56:$K$345,9,0)&amp;""</f>
        <v>Standard Importance</v>
      </c>
      <c r="J203" s="315" t="str">
        <f>VLOOKUP($A203,'Institution Evaluation'!$A$56:$K$345,10,0)&amp;""</f>
        <v/>
      </c>
      <c r="K203" s="315">
        <f>IF($I203='Auto Responses'!$J$11,20,IF($I203='Auto Responses'!$J$13,5,10))</f>
        <v>10</v>
      </c>
      <c r="L203" s="284">
        <f>IF($E203='Auto Responses'!$L$13, 'Auto Responses'!$J$5,IF(AND($D203='Auto Responses'!$J$27,$H203=""),'Auto Responses'!$J$5,IF(AND($D203='Auto Responses'!$J$27,$H203='Auto Responses'!$J$7),1,IF(AND($D203='Auto Responses'!$J$27,$H203='Auto Responses'!$J$8),0,IF(OR(AND($F203=$G203,$H203=""),$H203='Auto Responses'!$J$7),1,0)))))</f>
        <v>0</v>
      </c>
      <c r="M203" s="315" t="str">
        <f>VLOOKUP($A203,'Institution Evaluation'!$A$56:$K$345,11,0)&amp;""</f>
        <v>FALSCH</v>
      </c>
      <c r="N203" s="315">
        <f>IF($J203='Auto Responses'!$J$11,1,IF(AND($J203="",$I203='Auto Responses'!$J$11),1,0))</f>
        <v>0</v>
      </c>
      <c r="O203" s="284" t="str">
        <f>IF(OR($F$21='Auto Responses'!$J$4,$E203='Auto Responses'!$L$13,$F203='Auto Responses'!$J$5),'Auto Responses'!$J$5,IF($J203="",$K203,IF($J203='Auto Responses'!$J$13,5,IF($J203='Auto Responses'!$J$12,10,IF($J203='Auto Responses'!$J$11,20,0)))))</f>
        <v>N/A</v>
      </c>
      <c r="P203" s="284" t="str">
        <f>IF(OR($O203='Auto Responses'!$J$5,$L203='Auto Responses'!$J$5),'Auto Responses'!$J$5,$O203*$L203)</f>
        <v>N/A</v>
      </c>
      <c r="Q203" s="284">
        <f t="shared" si="22"/>
        <v>0</v>
      </c>
      <c r="R203" s="284">
        <f t="shared" si="26"/>
        <v>0</v>
      </c>
      <c r="S203" s="284">
        <f t="shared" si="23"/>
        <v>0</v>
      </c>
      <c r="T203" s="284">
        <f t="shared" si="24"/>
        <v>0</v>
      </c>
      <c r="U203" s="284">
        <f t="shared" si="27"/>
        <v>59</v>
      </c>
      <c r="V203" s="284">
        <f t="shared" si="25"/>
        <v>0</v>
      </c>
    </row>
    <row r="204" spans="1:22" ht="55.5" customHeight="1" x14ac:dyDescent="0.2">
      <c r="A204" s="315" t="str">
        <f>Questions!$A204</f>
        <v>HIPA-18</v>
      </c>
      <c r="B204" s="315" t="str">
        <f t="shared" si="21"/>
        <v>HIPA</v>
      </c>
      <c r="C204" s="315" t="str">
        <f>VLOOKUP($A204,Questions!$A$3:$L$333,2,0)&amp;""</f>
        <v>Does your application support varying levels of access to records based on user ID?</v>
      </c>
      <c r="D204" s="315" t="str">
        <f>VLOOKUP($A204,Questions!$A$3:$L$333,11,0)&amp;""</f>
        <v/>
      </c>
      <c r="E204" s="315" t="str">
        <f>VLOOKUP($A204,Questions!$A$3:$L$333,12,0)&amp;""</f>
        <v>Case-specific</v>
      </c>
      <c r="F204" s="315" t="str">
        <f>VLOOKUP($A204,'Institution Evaluation'!$A$56:$K$345,3,0)&amp;""</f>
        <v>N/A</v>
      </c>
      <c r="G204" s="315" t="str">
        <f>VLOOKUP($A204,'Institution Evaluation'!$A$56:$K$345,7,0)&amp;""</f>
        <v>No</v>
      </c>
      <c r="H204" s="315" t="str">
        <f>VLOOKUP($A204,'Institution Evaluation'!$A$56:$K$345,8,0)&amp;""</f>
        <v/>
      </c>
      <c r="I204" s="315" t="str">
        <f>VLOOKUP($A204,'Institution Evaluation'!$A$56:$K$345,9,0)&amp;""</f>
        <v>Standard Importance</v>
      </c>
      <c r="J204" s="315" t="str">
        <f>VLOOKUP($A204,'Institution Evaluation'!$A$56:$K$345,10,0)&amp;""</f>
        <v/>
      </c>
      <c r="K204" s="315">
        <f>IF($I204='Auto Responses'!$J$11,20,IF($I204='Auto Responses'!$J$13,5,10))</f>
        <v>10</v>
      </c>
      <c r="L204" s="284">
        <f>IF($E204='Auto Responses'!$L$13, 'Auto Responses'!$J$5,IF(AND($D204='Auto Responses'!$J$27,$H204=""),'Auto Responses'!$J$5,IF(AND($D204='Auto Responses'!$J$27,$H204='Auto Responses'!$J$7),1,IF(AND($D204='Auto Responses'!$J$27,$H204='Auto Responses'!$J$8),0,IF(OR(AND($F204=$G204,$H204=""),$H204='Auto Responses'!$J$7),1,0)))))</f>
        <v>0</v>
      </c>
      <c r="M204" s="315" t="str">
        <f>VLOOKUP($A204,'Institution Evaluation'!$A$56:$K$345,11,0)&amp;""</f>
        <v>FALSCH</v>
      </c>
      <c r="N204" s="315">
        <f>IF($J204='Auto Responses'!$J$11,1,IF(AND($J204="",$I204='Auto Responses'!$J$11),1,0))</f>
        <v>0</v>
      </c>
      <c r="O204" s="284" t="str">
        <f>IF(OR($F$21='Auto Responses'!$J$4,$E204='Auto Responses'!$L$13,$F204='Auto Responses'!$J$5),'Auto Responses'!$J$5,IF($J204="",$K204,IF($J204='Auto Responses'!$J$13,5,IF($J204='Auto Responses'!$J$12,10,IF($J204='Auto Responses'!$J$11,20,0)))))</f>
        <v>N/A</v>
      </c>
      <c r="P204" s="284" t="str">
        <f>IF(OR($O204='Auto Responses'!$J$5,$L204='Auto Responses'!$J$5),'Auto Responses'!$J$5,$O204*$L204)</f>
        <v>N/A</v>
      </c>
      <c r="Q204" s="284">
        <f t="shared" si="22"/>
        <v>0</v>
      </c>
      <c r="R204" s="284">
        <f t="shared" si="26"/>
        <v>0</v>
      </c>
      <c r="S204" s="284">
        <f t="shared" si="23"/>
        <v>0</v>
      </c>
      <c r="T204" s="284">
        <f t="shared" si="24"/>
        <v>0</v>
      </c>
      <c r="U204" s="284">
        <f t="shared" si="27"/>
        <v>59</v>
      </c>
      <c r="V204" s="284">
        <f t="shared" si="25"/>
        <v>0</v>
      </c>
    </row>
    <row r="205" spans="1:22" ht="55.5" customHeight="1" x14ac:dyDescent="0.2">
      <c r="A205" s="315" t="str">
        <f>Questions!$A205</f>
        <v>HIPA-19</v>
      </c>
      <c r="B205" s="315" t="str">
        <f t="shared" si="21"/>
        <v>HIPA</v>
      </c>
      <c r="C205" s="315" t="str">
        <f>VLOOKUP($A205,Questions!$A$3:$L$333,2,0)&amp;""</f>
        <v>Is there a limit to the number of groups to which a user can be assigned?</v>
      </c>
      <c r="D205" s="315" t="str">
        <f>VLOOKUP($A205,Questions!$A$3:$L$333,11,0)&amp;""</f>
        <v/>
      </c>
      <c r="E205" s="315" t="str">
        <f>VLOOKUP($A205,Questions!$A$3:$L$333,12,0)&amp;""</f>
        <v>Case-specific</v>
      </c>
      <c r="F205" s="315" t="str">
        <f>VLOOKUP($A205,'Institution Evaluation'!$A$56:$K$345,3,0)&amp;""</f>
        <v>N/A</v>
      </c>
      <c r="G205" s="315" t="str">
        <f>VLOOKUP($A205,'Institution Evaluation'!$A$56:$K$345,7,0)&amp;""</f>
        <v>Yes</v>
      </c>
      <c r="H205" s="315" t="str">
        <f>VLOOKUP($A205,'Institution Evaluation'!$A$56:$K$345,8,0)&amp;""</f>
        <v/>
      </c>
      <c r="I205" s="315" t="str">
        <f>VLOOKUP($A205,'Institution Evaluation'!$A$56:$K$345,9,0)&amp;""</f>
        <v>Standard Importance</v>
      </c>
      <c r="J205" s="315" t="str">
        <f>VLOOKUP($A205,'Institution Evaluation'!$A$56:$K$345,10,0)&amp;""</f>
        <v/>
      </c>
      <c r="K205" s="315">
        <f>IF($I205='Auto Responses'!$J$11,20,IF($I205='Auto Responses'!$J$13,5,10))</f>
        <v>10</v>
      </c>
      <c r="L205" s="284">
        <f>IF($E205='Auto Responses'!$L$13, 'Auto Responses'!$J$5,IF(AND($D205='Auto Responses'!$J$27,$H205=""),'Auto Responses'!$J$5,IF(AND($D205='Auto Responses'!$J$27,$H205='Auto Responses'!$J$7),1,IF(AND($D205='Auto Responses'!$J$27,$H205='Auto Responses'!$J$8),0,IF(OR(AND($F205=$G205,$H205=""),$H205='Auto Responses'!$J$7),1,0)))))</f>
        <v>0</v>
      </c>
      <c r="M205" s="315" t="str">
        <f>VLOOKUP($A205,'Institution Evaluation'!$A$56:$K$345,11,0)&amp;""</f>
        <v>FALSCH</v>
      </c>
      <c r="N205" s="315">
        <f>IF($J205='Auto Responses'!$J$11,1,IF(AND($J205="",$I205='Auto Responses'!$J$11),1,0))</f>
        <v>0</v>
      </c>
      <c r="O205" s="284" t="str">
        <f>IF(OR($F$21='Auto Responses'!$J$4,$E205='Auto Responses'!$L$13,$F205='Auto Responses'!$J$5),'Auto Responses'!$J$5,IF($J205="",$K205,IF($J205='Auto Responses'!$J$13,5,IF($J205='Auto Responses'!$J$12,10,IF($J205='Auto Responses'!$J$11,20,0)))))</f>
        <v>N/A</v>
      </c>
      <c r="P205" s="284" t="str">
        <f>IF(OR($O205='Auto Responses'!$J$5,$L205='Auto Responses'!$J$5),'Auto Responses'!$J$5,$O205*$L205)</f>
        <v>N/A</v>
      </c>
      <c r="Q205" s="284">
        <f t="shared" si="22"/>
        <v>0</v>
      </c>
      <c r="R205" s="284">
        <f t="shared" si="26"/>
        <v>0</v>
      </c>
      <c r="S205" s="284">
        <f t="shared" si="23"/>
        <v>0</v>
      </c>
      <c r="T205" s="284">
        <f t="shared" si="24"/>
        <v>0</v>
      </c>
      <c r="U205" s="284">
        <f t="shared" si="27"/>
        <v>59</v>
      </c>
      <c r="V205" s="284">
        <f t="shared" si="25"/>
        <v>0</v>
      </c>
    </row>
    <row r="206" spans="1:22" ht="55.5" customHeight="1" x14ac:dyDescent="0.2">
      <c r="A206" s="315" t="str">
        <f>Questions!$A206</f>
        <v>HIPA-20</v>
      </c>
      <c r="B206" s="315" t="str">
        <f t="shared" si="21"/>
        <v>HIPA</v>
      </c>
      <c r="C206" s="315" t="str">
        <f>VLOOKUP($A206,Questions!$A$3:$L$333,2,0)&amp;""</f>
        <v>Do accounts used for solution provider-supplied remote support abide by the same authentication policies and access logging as the rest of the system?</v>
      </c>
      <c r="D206" s="315" t="str">
        <f>VLOOKUP($A206,Questions!$A$3:$L$333,11,0)&amp;""</f>
        <v/>
      </c>
      <c r="E206" s="315" t="str">
        <f>VLOOKUP($A206,Questions!$A$3:$L$333,12,0)&amp;""</f>
        <v>Case-specific</v>
      </c>
      <c r="F206" s="315" t="str">
        <f>VLOOKUP($A206,'Institution Evaluation'!$A$56:$K$345,3,0)&amp;""</f>
        <v>N/A</v>
      </c>
      <c r="G206" s="315" t="str">
        <f>VLOOKUP($A206,'Institution Evaluation'!$A$56:$K$345,7,0)&amp;""</f>
        <v>Yes</v>
      </c>
      <c r="H206" s="315" t="str">
        <f>VLOOKUP($A206,'Institution Evaluation'!$A$56:$K$345,8,0)&amp;""</f>
        <v/>
      </c>
      <c r="I206" s="315" t="str">
        <f>VLOOKUP($A206,'Institution Evaluation'!$A$56:$K$345,9,0)&amp;""</f>
        <v>Standard Importance</v>
      </c>
      <c r="J206" s="315" t="str">
        <f>VLOOKUP($A206,'Institution Evaluation'!$A$56:$K$345,10,0)&amp;""</f>
        <v/>
      </c>
      <c r="K206" s="315">
        <f>IF($I206='Auto Responses'!$J$11,20,IF($I206='Auto Responses'!$J$13,5,10))</f>
        <v>10</v>
      </c>
      <c r="L206" s="284">
        <f>IF($E206='Auto Responses'!$L$13, 'Auto Responses'!$J$5,IF(AND($D206='Auto Responses'!$J$27,$H206=""),'Auto Responses'!$J$5,IF(AND($D206='Auto Responses'!$J$27,$H206='Auto Responses'!$J$7),1,IF(AND($D206='Auto Responses'!$J$27,$H206='Auto Responses'!$J$8),0,IF(OR(AND($F206=$G206,$H206=""),$H206='Auto Responses'!$J$7),1,0)))))</f>
        <v>0</v>
      </c>
      <c r="M206" s="315" t="str">
        <f>VLOOKUP($A206,'Institution Evaluation'!$A$56:$K$345,11,0)&amp;""</f>
        <v>FALSCH</v>
      </c>
      <c r="N206" s="315">
        <f>IF($J206='Auto Responses'!$J$11,1,IF(AND($J206="",$I206='Auto Responses'!$J$11),1,0))</f>
        <v>0</v>
      </c>
      <c r="O206" s="284" t="str">
        <f>IF(OR($F$21='Auto Responses'!$J$4,$E206='Auto Responses'!$L$13,$F206='Auto Responses'!$J$5),'Auto Responses'!$J$5,IF($J206="",$K206,IF($J206='Auto Responses'!$J$13,5,IF($J206='Auto Responses'!$J$12,10,IF($J206='Auto Responses'!$J$11,20,0)))))</f>
        <v>N/A</v>
      </c>
      <c r="P206" s="284" t="str">
        <f>IF(OR($O206='Auto Responses'!$J$5,$L206='Auto Responses'!$J$5),'Auto Responses'!$J$5,$O206*$L206)</f>
        <v>N/A</v>
      </c>
      <c r="Q206" s="284">
        <f t="shared" si="22"/>
        <v>0</v>
      </c>
      <c r="R206" s="284">
        <f t="shared" si="26"/>
        <v>0</v>
      </c>
      <c r="S206" s="284">
        <f t="shared" si="23"/>
        <v>0</v>
      </c>
      <c r="T206" s="284">
        <f t="shared" si="24"/>
        <v>0</v>
      </c>
      <c r="U206" s="284">
        <f t="shared" si="27"/>
        <v>59</v>
      </c>
      <c r="V206" s="284">
        <f t="shared" si="25"/>
        <v>0</v>
      </c>
    </row>
    <row r="207" spans="1:22" ht="55.5" customHeight="1" x14ac:dyDescent="0.2">
      <c r="A207" s="315" t="str">
        <f>Questions!$A207</f>
        <v>HIPA-21</v>
      </c>
      <c r="B207" s="315" t="str">
        <f t="shared" si="21"/>
        <v>HIPA</v>
      </c>
      <c r="C207" s="315" t="str">
        <f>VLOOKUP($A207,Questions!$A$3:$L$333,2,0)&amp;""</f>
        <v>Does the application log record access including specific user, date/time of access, and originating IP or device?</v>
      </c>
      <c r="D207" s="315" t="str">
        <f>VLOOKUP($A207,Questions!$A$3:$L$333,11,0)&amp;""</f>
        <v/>
      </c>
      <c r="E207" s="315" t="str">
        <f>VLOOKUP($A207,Questions!$A$3:$L$333,12,0)&amp;""</f>
        <v>Case-specific</v>
      </c>
      <c r="F207" s="315" t="str">
        <f>VLOOKUP($A207,'Institution Evaluation'!$A$56:$K$345,3,0)&amp;""</f>
        <v>N/A</v>
      </c>
      <c r="G207" s="315" t="str">
        <f>VLOOKUP($A207,'Institution Evaluation'!$A$56:$K$345,7,0)&amp;""</f>
        <v>Yes</v>
      </c>
      <c r="H207" s="315" t="str">
        <f>VLOOKUP($A207,'Institution Evaluation'!$A$56:$K$345,8,0)&amp;""</f>
        <v/>
      </c>
      <c r="I207" s="315" t="str">
        <f>VLOOKUP($A207,'Institution Evaluation'!$A$56:$K$345,9,0)&amp;""</f>
        <v>Standard Importance</v>
      </c>
      <c r="J207" s="315" t="str">
        <f>VLOOKUP($A207,'Institution Evaluation'!$A$56:$K$345,10,0)&amp;""</f>
        <v/>
      </c>
      <c r="K207" s="315">
        <f>IF($I207='Auto Responses'!$J$11,20,IF($I207='Auto Responses'!$J$13,5,10))</f>
        <v>10</v>
      </c>
      <c r="L207" s="284">
        <f>IF($E207='Auto Responses'!$L$13, 'Auto Responses'!$J$5,IF(AND($D207='Auto Responses'!$J$27,$H207=""),'Auto Responses'!$J$5,IF(AND($D207='Auto Responses'!$J$27,$H207='Auto Responses'!$J$7),1,IF(AND($D207='Auto Responses'!$J$27,$H207='Auto Responses'!$J$8),0,IF(OR(AND($F207=$G207,$H207=""),$H207='Auto Responses'!$J$7),1,0)))))</f>
        <v>0</v>
      </c>
      <c r="M207" s="315" t="str">
        <f>VLOOKUP($A207,'Institution Evaluation'!$A$56:$K$345,11,0)&amp;""</f>
        <v>FALSCH</v>
      </c>
      <c r="N207" s="315">
        <f>IF($J207='Auto Responses'!$J$11,1,IF(AND($J207="",$I207='Auto Responses'!$J$11),1,0))</f>
        <v>0</v>
      </c>
      <c r="O207" s="284" t="str">
        <f>IF(OR($F$21='Auto Responses'!$J$4,$E207='Auto Responses'!$L$13,$F207='Auto Responses'!$J$5),'Auto Responses'!$J$5,IF($J207="",$K207,IF($J207='Auto Responses'!$J$13,5,IF($J207='Auto Responses'!$J$12,10,IF($J207='Auto Responses'!$J$11,20,0)))))</f>
        <v>N/A</v>
      </c>
      <c r="P207" s="284" t="str">
        <f>IF(OR($O207='Auto Responses'!$J$5,$L207='Auto Responses'!$J$5),'Auto Responses'!$J$5,$O207*$L207)</f>
        <v>N/A</v>
      </c>
      <c r="Q207" s="284">
        <f t="shared" si="22"/>
        <v>0</v>
      </c>
      <c r="R207" s="284">
        <f t="shared" si="26"/>
        <v>0</v>
      </c>
      <c r="S207" s="284">
        <f t="shared" si="23"/>
        <v>0</v>
      </c>
      <c r="T207" s="284">
        <f t="shared" si="24"/>
        <v>0</v>
      </c>
      <c r="U207" s="284">
        <f t="shared" si="27"/>
        <v>59</v>
      </c>
      <c r="V207" s="284">
        <f t="shared" si="25"/>
        <v>0</v>
      </c>
    </row>
    <row r="208" spans="1:22" ht="55.5" customHeight="1" x14ac:dyDescent="0.2">
      <c r="A208" s="315" t="str">
        <f>Questions!$A208</f>
        <v>HIPA-22</v>
      </c>
      <c r="B208" s="315" t="str">
        <f t="shared" si="21"/>
        <v>HIPA</v>
      </c>
      <c r="C208" s="315" t="str">
        <f>VLOOKUP($A208,Questions!$A$3:$L$333,2,0)&amp;""</f>
        <v>Does the application log administrative activity, such as user account access changes and password changes, including specific user, date/time of changes, and originating IP or device?</v>
      </c>
      <c r="D208" s="315" t="str">
        <f>VLOOKUP($A208,Questions!$A$3:$L$333,11,0)&amp;""</f>
        <v/>
      </c>
      <c r="E208" s="315" t="str">
        <f>VLOOKUP($A208,Questions!$A$3:$L$333,12,0)&amp;""</f>
        <v>Case-specific</v>
      </c>
      <c r="F208" s="315" t="str">
        <f>VLOOKUP($A208,'Institution Evaluation'!$A$56:$K$345,3,0)&amp;""</f>
        <v>N/A</v>
      </c>
      <c r="G208" s="315" t="str">
        <f>VLOOKUP($A208,'Institution Evaluation'!$A$56:$K$345,7,0)&amp;""</f>
        <v>Yes</v>
      </c>
      <c r="H208" s="315" t="str">
        <f>VLOOKUP($A208,'Institution Evaluation'!$A$56:$K$345,8,0)&amp;""</f>
        <v/>
      </c>
      <c r="I208" s="315" t="str">
        <f>VLOOKUP($A208,'Institution Evaluation'!$A$56:$K$345,9,0)&amp;""</f>
        <v>Standard Importance</v>
      </c>
      <c r="J208" s="315" t="str">
        <f>VLOOKUP($A208,'Institution Evaluation'!$A$56:$K$345,10,0)&amp;""</f>
        <v/>
      </c>
      <c r="K208" s="315">
        <f>IF($I208='Auto Responses'!$J$11,20,IF($I208='Auto Responses'!$J$13,5,10))</f>
        <v>10</v>
      </c>
      <c r="L208" s="284">
        <f>IF($E208='Auto Responses'!$L$13, 'Auto Responses'!$J$5,IF(AND($D208='Auto Responses'!$J$27,$H208=""),'Auto Responses'!$J$5,IF(AND($D208='Auto Responses'!$J$27,$H208='Auto Responses'!$J$7),1,IF(AND($D208='Auto Responses'!$J$27,$H208='Auto Responses'!$J$8),0,IF(OR(AND($F208=$G208,$H208=""),$H208='Auto Responses'!$J$7),1,0)))))</f>
        <v>0</v>
      </c>
      <c r="M208" s="315" t="str">
        <f>VLOOKUP($A208,'Institution Evaluation'!$A$56:$K$345,11,0)&amp;""</f>
        <v>FALSCH</v>
      </c>
      <c r="N208" s="315">
        <f>IF($J208='Auto Responses'!$J$11,1,IF(AND($J208="",$I208='Auto Responses'!$J$11),1,0))</f>
        <v>0</v>
      </c>
      <c r="O208" s="284" t="str">
        <f>IF(OR($F$21='Auto Responses'!$J$4,$E208='Auto Responses'!$L$13,$F208='Auto Responses'!$J$5),'Auto Responses'!$J$5,IF($J208="",$K208,IF($J208='Auto Responses'!$J$13,5,IF($J208='Auto Responses'!$J$12,10,IF($J208='Auto Responses'!$J$11,20,0)))))</f>
        <v>N/A</v>
      </c>
      <c r="P208" s="284" t="str">
        <f>IF(OR($O208='Auto Responses'!$J$5,$L208='Auto Responses'!$J$5),'Auto Responses'!$J$5,$O208*$L208)</f>
        <v>N/A</v>
      </c>
      <c r="Q208" s="284">
        <f t="shared" si="22"/>
        <v>0</v>
      </c>
      <c r="R208" s="284">
        <f t="shared" si="26"/>
        <v>0</v>
      </c>
      <c r="S208" s="284">
        <f t="shared" si="23"/>
        <v>0</v>
      </c>
      <c r="T208" s="284">
        <f t="shared" si="24"/>
        <v>0</v>
      </c>
      <c r="U208" s="284">
        <f t="shared" si="27"/>
        <v>59</v>
      </c>
      <c r="V208" s="284">
        <f t="shared" si="25"/>
        <v>0</v>
      </c>
    </row>
    <row r="209" spans="1:22" ht="55.5" customHeight="1" x14ac:dyDescent="0.2">
      <c r="A209" s="315" t="str">
        <f>Questions!$A209</f>
        <v>HIPA-23</v>
      </c>
      <c r="B209" s="315" t="str">
        <f t="shared" si="21"/>
        <v>HIPA</v>
      </c>
      <c r="C209" s="315" t="str">
        <f>VLOOKUP($A209,Questions!$A$3:$L$333,2,0)&amp;""</f>
        <v>Do you retain logs for at least as long as required by HIPAA regulations?</v>
      </c>
      <c r="D209" s="315" t="str">
        <f>VLOOKUP($A209,Questions!$A$3:$L$333,11,0)&amp;""</f>
        <v/>
      </c>
      <c r="E209" s="315" t="str">
        <f>VLOOKUP($A209,Questions!$A$3:$L$333,12,0)&amp;""</f>
        <v>Case-specific</v>
      </c>
      <c r="F209" s="315" t="str">
        <f>VLOOKUP($A209,'Institution Evaluation'!$A$56:$K$345,3,0)&amp;""</f>
        <v>N/A</v>
      </c>
      <c r="G209" s="315" t="str">
        <f>VLOOKUP($A209,'Institution Evaluation'!$A$56:$K$345,7,0)&amp;""</f>
        <v>Yes</v>
      </c>
      <c r="H209" s="315" t="str">
        <f>VLOOKUP($A209,'Institution Evaluation'!$A$56:$K$345,8,0)&amp;""</f>
        <v/>
      </c>
      <c r="I209" s="315" t="str">
        <f>VLOOKUP($A209,'Institution Evaluation'!$A$56:$K$345,9,0)&amp;""</f>
        <v>Standard Importance</v>
      </c>
      <c r="J209" s="315" t="str">
        <f>VLOOKUP($A209,'Institution Evaluation'!$A$56:$K$345,10,0)&amp;""</f>
        <v/>
      </c>
      <c r="K209" s="315">
        <f>IF($I209='Auto Responses'!$J$11,20,IF($I209='Auto Responses'!$J$13,5,10))</f>
        <v>10</v>
      </c>
      <c r="L209" s="284">
        <f>IF($E209='Auto Responses'!$L$13, 'Auto Responses'!$J$5,IF(AND($D209='Auto Responses'!$J$27,$H209=""),'Auto Responses'!$J$5,IF(AND($D209='Auto Responses'!$J$27,$H209='Auto Responses'!$J$7),1,IF(AND($D209='Auto Responses'!$J$27,$H209='Auto Responses'!$J$8),0,IF(OR(AND($F209=$G209,$H209=""),$H209='Auto Responses'!$J$7),1,0)))))</f>
        <v>0</v>
      </c>
      <c r="M209" s="315" t="str">
        <f>VLOOKUP($A209,'Institution Evaluation'!$A$56:$K$345,11,0)&amp;""</f>
        <v>FALSCH</v>
      </c>
      <c r="N209" s="315">
        <f>IF($J209='Auto Responses'!$J$11,1,IF(AND($J209="",$I209='Auto Responses'!$J$11),1,0))</f>
        <v>0</v>
      </c>
      <c r="O209" s="284" t="str">
        <f>IF(OR($F$21='Auto Responses'!$J$4,$E209='Auto Responses'!$L$13,$F209='Auto Responses'!$J$5),'Auto Responses'!$J$5,IF($J209="",$K209,IF($J209='Auto Responses'!$J$13,5,IF($J209='Auto Responses'!$J$12,10,IF($J209='Auto Responses'!$J$11,20,0)))))</f>
        <v>N/A</v>
      </c>
      <c r="P209" s="284" t="str">
        <f>IF(OR($O209='Auto Responses'!$J$5,$L209='Auto Responses'!$J$5),'Auto Responses'!$J$5,$O209*$L209)</f>
        <v>N/A</v>
      </c>
      <c r="Q209" s="284">
        <f t="shared" si="22"/>
        <v>0</v>
      </c>
      <c r="R209" s="284">
        <f t="shared" si="26"/>
        <v>0</v>
      </c>
      <c r="S209" s="284">
        <f t="shared" si="23"/>
        <v>0</v>
      </c>
      <c r="T209" s="284">
        <f t="shared" si="24"/>
        <v>0</v>
      </c>
      <c r="U209" s="284">
        <f t="shared" si="27"/>
        <v>59</v>
      </c>
      <c r="V209" s="284">
        <f t="shared" si="25"/>
        <v>0</v>
      </c>
    </row>
    <row r="210" spans="1:22" ht="55.5" customHeight="1" x14ac:dyDescent="0.2">
      <c r="A210" s="315" t="str">
        <f>Questions!$A210</f>
        <v>HIPA-24</v>
      </c>
      <c r="B210" s="315" t="str">
        <f t="shared" si="21"/>
        <v>HIPA</v>
      </c>
      <c r="C210" s="315" t="str">
        <f>VLOOKUP($A210,Questions!$A$3:$L$333,2,0)&amp;""</f>
        <v>Can the application logs be archived?</v>
      </c>
      <c r="D210" s="315" t="str">
        <f>VLOOKUP($A210,Questions!$A$3:$L$333,11,0)&amp;""</f>
        <v/>
      </c>
      <c r="E210" s="315" t="str">
        <f>VLOOKUP($A210,Questions!$A$3:$L$333,12,0)&amp;""</f>
        <v>Case-specific</v>
      </c>
      <c r="F210" s="315" t="str">
        <f>VLOOKUP($A210,'Institution Evaluation'!$A$56:$K$345,3,0)&amp;""</f>
        <v>N/A</v>
      </c>
      <c r="G210" s="315" t="str">
        <f>VLOOKUP($A210,'Institution Evaluation'!$A$56:$K$345,7,0)&amp;""</f>
        <v>Yes</v>
      </c>
      <c r="H210" s="315" t="str">
        <f>VLOOKUP($A210,'Institution Evaluation'!$A$56:$K$345,8,0)&amp;""</f>
        <v/>
      </c>
      <c r="I210" s="315" t="str">
        <f>VLOOKUP($A210,'Institution Evaluation'!$A$56:$K$345,9,0)&amp;""</f>
        <v>Standard Importance</v>
      </c>
      <c r="J210" s="315" t="str">
        <f>VLOOKUP($A210,'Institution Evaluation'!$A$56:$K$345,10,0)&amp;""</f>
        <v/>
      </c>
      <c r="K210" s="315">
        <f>IF($I210='Auto Responses'!$J$11,20,IF($I210='Auto Responses'!$J$13,5,10))</f>
        <v>10</v>
      </c>
      <c r="L210" s="284">
        <f>IF($E210='Auto Responses'!$L$13, 'Auto Responses'!$J$5,IF(AND($D210='Auto Responses'!$J$27,$H210=""),'Auto Responses'!$J$5,IF(AND($D210='Auto Responses'!$J$27,$H210='Auto Responses'!$J$7),1,IF(AND($D210='Auto Responses'!$J$27,$H210='Auto Responses'!$J$8),0,IF(OR(AND($F210=$G210,$H210=""),$H210='Auto Responses'!$J$7),1,0)))))</f>
        <v>0</v>
      </c>
      <c r="M210" s="315" t="str">
        <f>VLOOKUP($A210,'Institution Evaluation'!$A$56:$K$345,11,0)&amp;""</f>
        <v>FALSCH</v>
      </c>
      <c r="N210" s="315">
        <f>IF($J210='Auto Responses'!$J$11,1,IF(AND($J210="",$I210='Auto Responses'!$J$11),1,0))</f>
        <v>0</v>
      </c>
      <c r="O210" s="284" t="str">
        <f>IF(OR($F$21='Auto Responses'!$J$4,$E210='Auto Responses'!$L$13,$F210='Auto Responses'!$J$5),'Auto Responses'!$J$5,IF($J210="",$K210,IF($J210='Auto Responses'!$J$13,5,IF($J210='Auto Responses'!$J$12,10,IF($J210='Auto Responses'!$J$11,20,0)))))</f>
        <v>N/A</v>
      </c>
      <c r="P210" s="284" t="str">
        <f>IF(OR($O210='Auto Responses'!$J$5,$L210='Auto Responses'!$J$5),'Auto Responses'!$J$5,$O210*$L210)</f>
        <v>N/A</v>
      </c>
      <c r="Q210" s="284">
        <f t="shared" si="22"/>
        <v>0</v>
      </c>
      <c r="R210" s="284">
        <f t="shared" si="26"/>
        <v>0</v>
      </c>
      <c r="S210" s="284">
        <f t="shared" si="23"/>
        <v>0</v>
      </c>
      <c r="T210" s="284">
        <f t="shared" si="24"/>
        <v>0</v>
      </c>
      <c r="U210" s="284">
        <f t="shared" si="27"/>
        <v>59</v>
      </c>
      <c r="V210" s="284">
        <f t="shared" si="25"/>
        <v>0</v>
      </c>
    </row>
    <row r="211" spans="1:22" ht="55.5" customHeight="1" x14ac:dyDescent="0.2">
      <c r="A211" s="315" t="str">
        <f>Questions!$A211</f>
        <v>HIPA-25</v>
      </c>
      <c r="B211" s="315" t="str">
        <f t="shared" si="21"/>
        <v>HIPA</v>
      </c>
      <c r="C211" s="315" t="str">
        <f>VLOOKUP($A211,Questions!$A$3:$L$333,2,0)&amp;""</f>
        <v>Can the application logs be saved externally?</v>
      </c>
      <c r="D211" s="315" t="str">
        <f>VLOOKUP($A211,Questions!$A$3:$L$333,11,0)&amp;""</f>
        <v/>
      </c>
      <c r="E211" s="315" t="str">
        <f>VLOOKUP($A211,Questions!$A$3:$L$333,12,0)&amp;""</f>
        <v>Case-specific</v>
      </c>
      <c r="F211" s="315" t="str">
        <f>VLOOKUP($A211,'Institution Evaluation'!$A$56:$K$345,3,0)&amp;""</f>
        <v>N/A</v>
      </c>
      <c r="G211" s="315" t="str">
        <f>VLOOKUP($A211,'Institution Evaluation'!$A$56:$K$345,7,0)&amp;""</f>
        <v>Yes</v>
      </c>
      <c r="H211" s="315" t="str">
        <f>VLOOKUP($A211,'Institution Evaluation'!$A$56:$K$345,8,0)&amp;""</f>
        <v/>
      </c>
      <c r="I211" s="315" t="str">
        <f>VLOOKUP($A211,'Institution Evaluation'!$A$56:$K$345,9,0)&amp;""</f>
        <v>Standard Importance</v>
      </c>
      <c r="J211" s="315" t="str">
        <f>VLOOKUP($A211,'Institution Evaluation'!$A$56:$K$345,10,0)&amp;""</f>
        <v/>
      </c>
      <c r="K211" s="315">
        <f>IF($I211='Auto Responses'!$J$11,20,IF($I211='Auto Responses'!$J$13,5,10))</f>
        <v>10</v>
      </c>
      <c r="L211" s="284">
        <f>IF($E211='Auto Responses'!$L$13, 'Auto Responses'!$J$5,IF(AND($D211='Auto Responses'!$J$27,$H211=""),'Auto Responses'!$J$5,IF(AND($D211='Auto Responses'!$J$27,$H211='Auto Responses'!$J$7),1,IF(AND($D211='Auto Responses'!$J$27,$H211='Auto Responses'!$J$8),0,IF(OR(AND($F211=$G211,$H211=""),$H211='Auto Responses'!$J$7),1,0)))))</f>
        <v>0</v>
      </c>
      <c r="M211" s="315" t="str">
        <f>VLOOKUP($A211,'Institution Evaluation'!$A$56:$K$345,11,0)&amp;""</f>
        <v>FALSCH</v>
      </c>
      <c r="N211" s="315">
        <f>IF($J211='Auto Responses'!$J$11,1,IF(AND($J211="",$I211='Auto Responses'!$J$11),1,0))</f>
        <v>0</v>
      </c>
      <c r="O211" s="284" t="str">
        <f>IF(OR($F$21='Auto Responses'!$J$4,$E211='Auto Responses'!$L$13,$F211='Auto Responses'!$J$5),'Auto Responses'!$J$5,IF($J211="",$K211,IF($J211='Auto Responses'!$J$13,5,IF($J211='Auto Responses'!$J$12,10,IF($J211='Auto Responses'!$J$11,20,0)))))</f>
        <v>N/A</v>
      </c>
      <c r="P211" s="284" t="str">
        <f>IF(OR($O211='Auto Responses'!$J$5,$L211='Auto Responses'!$J$5),'Auto Responses'!$J$5,$O211*$L211)</f>
        <v>N/A</v>
      </c>
      <c r="Q211" s="284">
        <f t="shared" si="22"/>
        <v>0</v>
      </c>
      <c r="R211" s="284">
        <f t="shared" si="26"/>
        <v>0</v>
      </c>
      <c r="S211" s="284">
        <f t="shared" si="23"/>
        <v>0</v>
      </c>
      <c r="T211" s="284">
        <f t="shared" si="24"/>
        <v>0</v>
      </c>
      <c r="U211" s="284">
        <f t="shared" si="27"/>
        <v>59</v>
      </c>
      <c r="V211" s="284">
        <f t="shared" si="25"/>
        <v>0</v>
      </c>
    </row>
    <row r="212" spans="1:22" ht="55.5" customHeight="1" x14ac:dyDescent="0.2">
      <c r="A212" s="315" t="str">
        <f>Questions!$A212</f>
        <v>HIPA-26</v>
      </c>
      <c r="B212" s="315" t="str">
        <f t="shared" si="21"/>
        <v>HIPA</v>
      </c>
      <c r="C212" s="315" t="str">
        <f>VLOOKUP($A212,Questions!$A$3:$L$333,2,0)&amp;""</f>
        <v>Do you have a disaster recovery plan and emergency mode operation plan?</v>
      </c>
      <c r="D212" s="315" t="str">
        <f>VLOOKUP($A212,Questions!$A$3:$L$333,11,0)&amp;""</f>
        <v/>
      </c>
      <c r="E212" s="315" t="str">
        <f>VLOOKUP($A212,Questions!$A$3:$L$333,12,0)&amp;""</f>
        <v>Case-specific</v>
      </c>
      <c r="F212" s="315" t="str">
        <f>VLOOKUP($A212,'Institution Evaluation'!$A$56:$K$345,3,0)&amp;""</f>
        <v>N/A</v>
      </c>
      <c r="G212" s="315" t="str">
        <f>VLOOKUP($A212,'Institution Evaluation'!$A$56:$K$345,7,0)&amp;""</f>
        <v>Yes</v>
      </c>
      <c r="H212" s="315" t="str">
        <f>VLOOKUP($A212,'Institution Evaluation'!$A$56:$K$345,8,0)&amp;""</f>
        <v/>
      </c>
      <c r="I212" s="315" t="str">
        <f>VLOOKUP($A212,'Institution Evaluation'!$A$56:$K$345,9,0)&amp;""</f>
        <v>Standard Importance</v>
      </c>
      <c r="J212" s="315" t="str">
        <f>VLOOKUP($A212,'Institution Evaluation'!$A$56:$K$345,10,0)&amp;""</f>
        <v/>
      </c>
      <c r="K212" s="315">
        <f>IF($I212='Auto Responses'!$J$11,20,IF($I212='Auto Responses'!$J$13,5,10))</f>
        <v>10</v>
      </c>
      <c r="L212" s="284">
        <f>IF($E212='Auto Responses'!$L$13, 'Auto Responses'!$J$5,IF(AND($D212='Auto Responses'!$J$27,$H212=""),'Auto Responses'!$J$5,IF(AND($D212='Auto Responses'!$J$27,$H212='Auto Responses'!$J$7),1,IF(AND($D212='Auto Responses'!$J$27,$H212='Auto Responses'!$J$8),0,IF(OR(AND($F212=$G212,$H212=""),$H212='Auto Responses'!$J$7),1,0)))))</f>
        <v>0</v>
      </c>
      <c r="M212" s="315" t="str">
        <f>VLOOKUP($A212,'Institution Evaluation'!$A$56:$K$345,11,0)&amp;""</f>
        <v>FALSCH</v>
      </c>
      <c r="N212" s="315">
        <f>IF($J212='Auto Responses'!$J$11,1,IF(AND($J212="",$I212='Auto Responses'!$J$11),1,0))</f>
        <v>0</v>
      </c>
      <c r="O212" s="284" t="str">
        <f>IF(OR($F$21='Auto Responses'!$J$4,$E212='Auto Responses'!$L$13,$F212='Auto Responses'!$J$5),'Auto Responses'!$J$5,IF($J212="",$K212,IF($J212='Auto Responses'!$J$13,5,IF($J212='Auto Responses'!$J$12,10,IF($J212='Auto Responses'!$J$11,20,0)))))</f>
        <v>N/A</v>
      </c>
      <c r="P212" s="284" t="str">
        <f>IF(OR($O212='Auto Responses'!$J$5,$L212='Auto Responses'!$J$5),'Auto Responses'!$J$5,$O212*$L212)</f>
        <v>N/A</v>
      </c>
      <c r="Q212" s="284">
        <f t="shared" si="22"/>
        <v>0</v>
      </c>
      <c r="R212" s="284">
        <f t="shared" si="26"/>
        <v>0</v>
      </c>
      <c r="S212" s="284">
        <f t="shared" si="23"/>
        <v>0</v>
      </c>
      <c r="T212" s="284">
        <f t="shared" si="24"/>
        <v>0</v>
      </c>
      <c r="U212" s="284">
        <f t="shared" si="27"/>
        <v>59</v>
      </c>
      <c r="V212" s="284">
        <f t="shared" si="25"/>
        <v>0</v>
      </c>
    </row>
    <row r="213" spans="1:22" ht="55.5" customHeight="1" x14ac:dyDescent="0.2">
      <c r="A213" s="315" t="str">
        <f>Questions!$A213</f>
        <v>HIPA-27</v>
      </c>
      <c r="B213" s="315" t="str">
        <f t="shared" si="21"/>
        <v>HIPA</v>
      </c>
      <c r="C213" s="315" t="str">
        <f>VLOOKUP($A213,Questions!$A$3:$L$333,2,0)&amp;""</f>
        <v>Can you provide a HIPAA compliance attestation document?</v>
      </c>
      <c r="D213" s="315" t="str">
        <f>VLOOKUP($A213,Questions!$A$3:$L$333,11,0)&amp;""</f>
        <v/>
      </c>
      <c r="E213" s="315" t="str">
        <f>VLOOKUP($A213,Questions!$A$3:$L$333,12,0)&amp;""</f>
        <v>Case-specific</v>
      </c>
      <c r="F213" s="315" t="str">
        <f>VLOOKUP($A213,'Institution Evaluation'!$A$56:$K$345,3,0)&amp;""</f>
        <v>N/A</v>
      </c>
      <c r="G213" s="315" t="str">
        <f>VLOOKUP($A213,'Institution Evaluation'!$A$56:$K$345,7,0)&amp;""</f>
        <v>Yes</v>
      </c>
      <c r="H213" s="315" t="str">
        <f>VLOOKUP($A213,'Institution Evaluation'!$A$56:$K$345,8,0)&amp;""</f>
        <v/>
      </c>
      <c r="I213" s="315" t="str">
        <f>VLOOKUP($A213,'Institution Evaluation'!$A$56:$K$345,9,0)&amp;""</f>
        <v>Standard Importance</v>
      </c>
      <c r="J213" s="315" t="str">
        <f>VLOOKUP($A213,'Institution Evaluation'!$A$56:$K$345,10,0)&amp;""</f>
        <v/>
      </c>
      <c r="K213" s="315">
        <f>IF($I213='Auto Responses'!$J$11,20,IF($I213='Auto Responses'!$J$13,5,10))</f>
        <v>10</v>
      </c>
      <c r="L213" s="284">
        <f>IF($E213='Auto Responses'!$L$13, 'Auto Responses'!$J$5,IF(AND($D213='Auto Responses'!$J$27,$H213=""),'Auto Responses'!$J$5,IF(AND($D213='Auto Responses'!$J$27,$H213='Auto Responses'!$J$7),1,IF(AND($D213='Auto Responses'!$J$27,$H213='Auto Responses'!$J$8),0,IF(OR(AND($F213=$G213,$H213=""),$H213='Auto Responses'!$J$7),1,0)))))</f>
        <v>0</v>
      </c>
      <c r="M213" s="315" t="str">
        <f>VLOOKUP($A213,'Institution Evaluation'!$A$56:$K$345,11,0)&amp;""</f>
        <v>FALSCH</v>
      </c>
      <c r="N213" s="315">
        <f>IF($J213='Auto Responses'!$J$11,1,IF(AND($J213="",$I213='Auto Responses'!$J$11),1,0))</f>
        <v>0</v>
      </c>
      <c r="O213" s="284" t="str">
        <f>IF(OR($F$21='Auto Responses'!$J$4,$E213='Auto Responses'!$L$13,$F213='Auto Responses'!$J$5),'Auto Responses'!$J$5,IF($J213="",$K213,IF($J213='Auto Responses'!$J$13,5,IF($J213='Auto Responses'!$J$12,10,IF($J213='Auto Responses'!$J$11,20,0)))))</f>
        <v>N/A</v>
      </c>
      <c r="P213" s="284" t="str">
        <f>IF(OR($O213='Auto Responses'!$J$5,$L213='Auto Responses'!$J$5),'Auto Responses'!$J$5,$O213*$L213)</f>
        <v>N/A</v>
      </c>
      <c r="Q213" s="284">
        <f t="shared" si="22"/>
        <v>0</v>
      </c>
      <c r="R213" s="284">
        <f t="shared" si="26"/>
        <v>0</v>
      </c>
      <c r="S213" s="284">
        <f t="shared" si="23"/>
        <v>0</v>
      </c>
      <c r="T213" s="284">
        <f t="shared" si="24"/>
        <v>0</v>
      </c>
      <c r="U213" s="284">
        <f t="shared" si="27"/>
        <v>59</v>
      </c>
      <c r="V213" s="284">
        <f t="shared" si="25"/>
        <v>0</v>
      </c>
    </row>
    <row r="214" spans="1:22" ht="55.5" customHeight="1" x14ac:dyDescent="0.2">
      <c r="A214" s="315" t="str">
        <f>Questions!$A214</f>
        <v>HIPA-28</v>
      </c>
      <c r="B214" s="315" t="str">
        <f t="shared" si="21"/>
        <v>HIPA</v>
      </c>
      <c r="C214" s="315" t="str">
        <f>VLOOKUP($A214,Questions!$A$3:$L$333,2,0)&amp;""</f>
        <v>Are you willing to enter into a Business Associate Agreement (BAA)?</v>
      </c>
      <c r="D214" s="315" t="str">
        <f>VLOOKUP($A214,Questions!$A$3:$L$333,11,0)&amp;""</f>
        <v/>
      </c>
      <c r="E214" s="315" t="str">
        <f>VLOOKUP($A214,Questions!$A$3:$L$333,12,0)&amp;""</f>
        <v>Case-specific</v>
      </c>
      <c r="F214" s="315" t="str">
        <f>VLOOKUP($A214,'Institution Evaluation'!$A$56:$K$345,3,0)&amp;""</f>
        <v>N/A</v>
      </c>
      <c r="G214" s="315" t="str">
        <f>VLOOKUP($A214,'Institution Evaluation'!$A$56:$K$345,7,0)&amp;""</f>
        <v>Yes</v>
      </c>
      <c r="H214" s="315" t="str">
        <f>VLOOKUP($A214,'Institution Evaluation'!$A$56:$K$345,8,0)&amp;""</f>
        <v/>
      </c>
      <c r="I214" s="315" t="str">
        <f>VLOOKUP($A214,'Institution Evaluation'!$A$56:$K$345,9,0)&amp;""</f>
        <v>Standard Importance</v>
      </c>
      <c r="J214" s="315" t="str">
        <f>VLOOKUP($A214,'Institution Evaluation'!$A$56:$K$345,10,0)&amp;""</f>
        <v/>
      </c>
      <c r="K214" s="315">
        <f>IF($I214='Auto Responses'!$J$11,20,IF($I214='Auto Responses'!$J$13,5,10))</f>
        <v>10</v>
      </c>
      <c r="L214" s="284">
        <f>IF($E214='Auto Responses'!$L$13, 'Auto Responses'!$J$5,IF(AND($D214='Auto Responses'!$J$27,$H214=""),'Auto Responses'!$J$5,IF(AND($D214='Auto Responses'!$J$27,$H214='Auto Responses'!$J$7),1,IF(AND($D214='Auto Responses'!$J$27,$H214='Auto Responses'!$J$8),0,IF(OR(AND($F214=$G214,$H214=""),$H214='Auto Responses'!$J$7),1,0)))))</f>
        <v>0</v>
      </c>
      <c r="M214" s="315" t="str">
        <f>VLOOKUP($A214,'Institution Evaluation'!$A$56:$K$345,11,0)&amp;""</f>
        <v>FALSCH</v>
      </c>
      <c r="N214" s="315">
        <f>IF($J214='Auto Responses'!$J$11,1,IF(AND($J214="",$I214='Auto Responses'!$J$11),1,0))</f>
        <v>0</v>
      </c>
      <c r="O214" s="284" t="str">
        <f>IF(OR($F$21='Auto Responses'!$J$4,$E214='Auto Responses'!$L$13,$F214='Auto Responses'!$J$5),'Auto Responses'!$J$5,IF($J214="",$K214,IF($J214='Auto Responses'!$J$13,5,IF($J214='Auto Responses'!$J$12,10,IF($J214='Auto Responses'!$J$11,20,0)))))</f>
        <v>N/A</v>
      </c>
      <c r="P214" s="284" t="str">
        <f>IF(OR($O214='Auto Responses'!$J$5,$L214='Auto Responses'!$J$5),'Auto Responses'!$J$5,$O214*$L214)</f>
        <v>N/A</v>
      </c>
      <c r="Q214" s="284">
        <f t="shared" si="22"/>
        <v>0</v>
      </c>
      <c r="R214" s="284">
        <f t="shared" si="26"/>
        <v>0</v>
      </c>
      <c r="S214" s="284">
        <f t="shared" si="23"/>
        <v>0</v>
      </c>
      <c r="T214" s="284">
        <f t="shared" si="24"/>
        <v>0</v>
      </c>
      <c r="U214" s="284">
        <f t="shared" si="27"/>
        <v>59</v>
      </c>
      <c r="V214" s="284">
        <f t="shared" si="25"/>
        <v>0</v>
      </c>
    </row>
    <row r="215" spans="1:22" ht="55.5" customHeight="1" x14ac:dyDescent="0.2">
      <c r="A215" s="315" t="str">
        <f>Questions!$A215</f>
        <v>HIPA-29</v>
      </c>
      <c r="B215" s="315" t="str">
        <f t="shared" si="21"/>
        <v>HIPA</v>
      </c>
      <c r="C215" s="315" t="str">
        <f>VLOOKUP($A215,Questions!$A$3:$L$333,2,0)&amp;""</f>
        <v>Do your data backup and retention policies and practices meet HIPAA requirements?</v>
      </c>
      <c r="D215" s="315" t="str">
        <f>VLOOKUP($A215,Questions!$A$3:$L$333,11,0)&amp;""</f>
        <v/>
      </c>
      <c r="E215" s="315" t="str">
        <f>VLOOKUP($A215,Questions!$A$3:$L$333,12,0)&amp;""</f>
        <v>Case-specific</v>
      </c>
      <c r="F215" s="315" t="str">
        <f>VLOOKUP($A215,'Institution Evaluation'!$A$56:$K$345,3,0)&amp;""</f>
        <v>N/A</v>
      </c>
      <c r="G215" s="315" t="str">
        <f>VLOOKUP($A215,'Institution Evaluation'!$A$56:$K$345,7,0)&amp;""</f>
        <v>Yes</v>
      </c>
      <c r="H215" s="315" t="str">
        <f>VLOOKUP($A215,'Institution Evaluation'!$A$56:$K$345,8,0)&amp;""</f>
        <v/>
      </c>
      <c r="I215" s="315" t="str">
        <f>VLOOKUP($A215,'Institution Evaluation'!$A$56:$K$345,9,0)&amp;""</f>
        <v>Minor Importance</v>
      </c>
      <c r="J215" s="315" t="str">
        <f>VLOOKUP($A215,'Institution Evaluation'!$A$56:$K$345,10,0)&amp;""</f>
        <v/>
      </c>
      <c r="K215" s="315">
        <f>IF($I215='Auto Responses'!$J$11,20,IF($I215='Auto Responses'!$J$13,5,10))</f>
        <v>5</v>
      </c>
      <c r="L215" s="284">
        <f>IF($E215='Auto Responses'!$L$13, 'Auto Responses'!$J$5,IF(AND($D215='Auto Responses'!$J$27,$H215=""),'Auto Responses'!$J$5,IF(AND($D215='Auto Responses'!$J$27,$H215='Auto Responses'!$J$7),1,IF(AND($D215='Auto Responses'!$J$27,$H215='Auto Responses'!$J$8),0,IF(OR(AND($F215=$G215,$H215=""),$H215='Auto Responses'!$J$7),1,0)))))</f>
        <v>0</v>
      </c>
      <c r="M215" s="315" t="str">
        <f>VLOOKUP($A215,'Institution Evaluation'!$A$56:$K$345,11,0)&amp;""</f>
        <v>FALSCH</v>
      </c>
      <c r="N215" s="315">
        <f>IF($J215='Auto Responses'!$J$11,1,IF(AND($J215="",$I215='Auto Responses'!$J$11),1,0))</f>
        <v>0</v>
      </c>
      <c r="O215" s="284" t="str">
        <f>IF(OR($F$21='Auto Responses'!$J$4,$E215='Auto Responses'!$L$13,$F215='Auto Responses'!$J$5),'Auto Responses'!$J$5,IF($J215="",$K215,IF($J215='Auto Responses'!$J$13,5,IF($J215='Auto Responses'!$J$12,10,IF($J215='Auto Responses'!$J$11,20,0)))))</f>
        <v>N/A</v>
      </c>
      <c r="P215" s="284" t="str">
        <f>IF(OR($O215='Auto Responses'!$J$5,$L215='Auto Responses'!$J$5),'Auto Responses'!$J$5,$O215*$L215)</f>
        <v>N/A</v>
      </c>
      <c r="Q215" s="284">
        <f t="shared" si="22"/>
        <v>0</v>
      </c>
      <c r="R215" s="284">
        <f t="shared" si="26"/>
        <v>0</v>
      </c>
      <c r="S215" s="284">
        <f t="shared" si="23"/>
        <v>0</v>
      </c>
      <c r="T215" s="284">
        <f t="shared" si="24"/>
        <v>0</v>
      </c>
      <c r="U215" s="284">
        <f t="shared" si="27"/>
        <v>59</v>
      </c>
      <c r="V215" s="284">
        <f t="shared" si="25"/>
        <v>0</v>
      </c>
    </row>
    <row r="216" spans="1:22" ht="55.5" customHeight="1" x14ac:dyDescent="0.2">
      <c r="A216" s="315" t="str">
        <f>Questions!$A216</f>
        <v>PCID-01</v>
      </c>
      <c r="B216" s="315" t="str">
        <f t="shared" si="21"/>
        <v>PCID</v>
      </c>
      <c r="C216" s="315" t="str">
        <f>VLOOKUP($A216,Questions!$A$3:$L$333,2,0)&amp;""</f>
        <v>Do you have a current, executed within the past year, Attestation of Compliance (AoC) or Report on Compliance (RoC)?*</v>
      </c>
      <c r="D216" s="315" t="str">
        <f>VLOOKUP($A216,Questions!$A$3:$L$333,11,0)&amp;""</f>
        <v/>
      </c>
      <c r="E216" s="315" t="str">
        <f>VLOOKUP($A216,Questions!$A$3:$L$333,12,0)&amp;""</f>
        <v>Case-Specific</v>
      </c>
      <c r="F216" s="315" t="str">
        <f>VLOOKUP($A216,'Institution Evaluation'!$A$56:$K$345,3,0)&amp;""</f>
        <v>N/A</v>
      </c>
      <c r="G216" s="315" t="str">
        <f>VLOOKUP($A216,'Institution Evaluation'!$A$56:$K$345,7,0)&amp;""</f>
        <v>Yes</v>
      </c>
      <c r="H216" s="315" t="str">
        <f>VLOOKUP($A216,'Institution Evaluation'!$A$56:$K$345,8,0)&amp;""</f>
        <v/>
      </c>
      <c r="I216" s="315" t="str">
        <f>VLOOKUP($A216,'Institution Evaluation'!$A$56:$K$345,9,0)&amp;""</f>
        <v>Critical Importance</v>
      </c>
      <c r="J216" s="315" t="str">
        <f>VLOOKUP($A216,'Institution Evaluation'!$A$56:$K$345,10,0)&amp;""</f>
        <v/>
      </c>
      <c r="K216" s="315">
        <f>IF($I216='Auto Responses'!$J$11,20,IF($I216='Auto Responses'!$J$13,5,10))</f>
        <v>20</v>
      </c>
      <c r="L216" s="284">
        <f>IF($E216='Auto Responses'!$L$13, 'Auto Responses'!$J$5,IF(AND($D216='Auto Responses'!$J$27,$H216=""),'Auto Responses'!$J$5,IF(AND($D216='Auto Responses'!$J$27,$H216='Auto Responses'!$J$7),1,IF(AND($D216='Auto Responses'!$J$27,$H216='Auto Responses'!$J$8),0,IF(OR(AND($F216=$G216,$H216=""),$H216='Auto Responses'!$J$7),1,0)))))</f>
        <v>0</v>
      </c>
      <c r="M216" s="315" t="str">
        <f>VLOOKUP($A216,'Institution Evaluation'!$A$56:$K$345,11,0)&amp;""</f>
        <v>FALSCH</v>
      </c>
      <c r="N216" s="315">
        <f>IF($J216='Auto Responses'!$J$11,1,IF(AND($J216="",$I216='Auto Responses'!$J$11),1,0))</f>
        <v>1</v>
      </c>
      <c r="O216" s="284" t="str">
        <f>IF(OR($F$22='Auto Responses'!$J$4,$E216='Auto Responses'!$L$13,$F216='Auto Responses'!$J$5),'Auto Responses'!$J$5,IF($J216="",$K216,IF($J216='Auto Responses'!$J$13,5,IF($J216='Auto Responses'!$J$12,10,IF($J216='Auto Responses'!$J$11,20,0)))))</f>
        <v>N/A</v>
      </c>
      <c r="P216" s="284" t="str">
        <f>IF(OR($O216='Auto Responses'!$J$5,$L216='Auto Responses'!$J$5),'Auto Responses'!$J$5,$O216*$L216)</f>
        <v>N/A</v>
      </c>
      <c r="Q216" s="284">
        <f t="shared" si="22"/>
        <v>0</v>
      </c>
      <c r="R216" s="284">
        <f t="shared" si="26"/>
        <v>0</v>
      </c>
      <c r="S216" s="284">
        <f t="shared" si="23"/>
        <v>0</v>
      </c>
      <c r="T216" s="284">
        <f t="shared" si="24"/>
        <v>1</v>
      </c>
      <c r="U216" s="284">
        <f t="shared" si="27"/>
        <v>60</v>
      </c>
      <c r="V216" s="284">
        <f t="shared" si="25"/>
        <v>60</v>
      </c>
    </row>
    <row r="217" spans="1:22" ht="55.5" customHeight="1" x14ac:dyDescent="0.2">
      <c r="A217" s="315" t="str">
        <f>Questions!$A217</f>
        <v>PCID-02</v>
      </c>
      <c r="B217" s="315" t="str">
        <f t="shared" si="21"/>
        <v>PCID</v>
      </c>
      <c r="C217" s="315" t="str">
        <f>VLOOKUP($A217,Questions!$A$3:$L$333,2,0)&amp;""</f>
        <v>Is the application listed as an approved Payment Application Data Security Standard (PA-DSS) application?*</v>
      </c>
      <c r="D217" s="315" t="str">
        <f>VLOOKUP($A217,Questions!$A$3:$L$333,11,0)&amp;""</f>
        <v/>
      </c>
      <c r="E217" s="315" t="str">
        <f>VLOOKUP($A217,Questions!$A$3:$L$333,12,0)&amp;""</f>
        <v>Case-Specific</v>
      </c>
      <c r="F217" s="315" t="str">
        <f>VLOOKUP($A217,'Institution Evaluation'!$A$56:$K$345,3,0)&amp;""</f>
        <v>N/A</v>
      </c>
      <c r="G217" s="315" t="str">
        <f>VLOOKUP($A217,'Institution Evaluation'!$A$56:$K$345,7,0)&amp;""</f>
        <v>No</v>
      </c>
      <c r="H217" s="315" t="str">
        <f>VLOOKUP($A217,'Institution Evaluation'!$A$56:$K$345,8,0)&amp;""</f>
        <v/>
      </c>
      <c r="I217" s="315" t="str">
        <f>VLOOKUP($A217,'Institution Evaluation'!$A$56:$K$345,9,0)&amp;""</f>
        <v>Critical Importance</v>
      </c>
      <c r="J217" s="315" t="str">
        <f>VLOOKUP($A217,'Institution Evaluation'!$A$56:$K$345,10,0)&amp;""</f>
        <v/>
      </c>
      <c r="K217" s="315">
        <f>IF($I217='Auto Responses'!$J$11,20,IF($I217='Auto Responses'!$J$13,5,10))</f>
        <v>20</v>
      </c>
      <c r="L217" s="284">
        <f>IF($E217='Auto Responses'!$L$13, 'Auto Responses'!$J$5,IF(AND($D217='Auto Responses'!$J$27,$H217=""),'Auto Responses'!$J$5,IF(AND($D217='Auto Responses'!$J$27,$H217='Auto Responses'!$J$7),1,IF(AND($D217='Auto Responses'!$J$27,$H217='Auto Responses'!$J$8),0,IF(OR(AND($F217=$G217,$H217=""),$H217='Auto Responses'!$J$7),1,0)))))</f>
        <v>0</v>
      </c>
      <c r="M217" s="315" t="str">
        <f>VLOOKUP($A217,'Institution Evaluation'!$A$56:$K$345,11,0)&amp;""</f>
        <v>FALSCH</v>
      </c>
      <c r="N217" s="315">
        <f>IF($J217='Auto Responses'!$J$11,1,IF(AND($J217="",$I217='Auto Responses'!$J$11),1,0))</f>
        <v>1</v>
      </c>
      <c r="O217" s="284" t="str">
        <f>IF(OR($F$22='Auto Responses'!$J$4,$E217='Auto Responses'!$L$13,$F217='Auto Responses'!$J$5),'Auto Responses'!$J$5,IF($J217="",$K217,IF($J217='Auto Responses'!$J$13,5,IF($J217='Auto Responses'!$J$12,10,IF($J217='Auto Responses'!$J$11,20,0)))))</f>
        <v>N/A</v>
      </c>
      <c r="P217" s="284" t="str">
        <f>IF(OR($O217='Auto Responses'!$J$5,$L217='Auto Responses'!$J$5),'Auto Responses'!$J$5,$O217*$L217)</f>
        <v>N/A</v>
      </c>
      <c r="Q217" s="284">
        <f t="shared" si="22"/>
        <v>0</v>
      </c>
      <c r="R217" s="284">
        <f t="shared" si="26"/>
        <v>0</v>
      </c>
      <c r="S217" s="284">
        <f t="shared" si="23"/>
        <v>0</v>
      </c>
      <c r="T217" s="284">
        <f t="shared" si="24"/>
        <v>1</v>
      </c>
      <c r="U217" s="284">
        <f t="shared" si="27"/>
        <v>61</v>
      </c>
      <c r="V217" s="284">
        <f t="shared" si="25"/>
        <v>61</v>
      </c>
    </row>
    <row r="218" spans="1:22" ht="55.5" customHeight="1" x14ac:dyDescent="0.2">
      <c r="A218" s="315" t="str">
        <f>Questions!$A218</f>
        <v>PCID-03</v>
      </c>
      <c r="B218" s="315" t="str">
        <f t="shared" si="21"/>
        <v>PCID</v>
      </c>
      <c r="C218" s="315" t="str">
        <f>VLOOKUP($A218,Questions!$A$3:$L$333,2,0)&amp;""</f>
        <v>Does the system or solutions use a third party to collect, store, process, or transmit cardholder (payment/credit/debt card) data?*</v>
      </c>
      <c r="D218" s="315" t="str">
        <f>VLOOKUP($A218,Questions!$A$3:$L$333,11,0)&amp;""</f>
        <v/>
      </c>
      <c r="E218" s="315" t="str">
        <f>VLOOKUP($A218,Questions!$A$3:$L$333,12,0)&amp;""</f>
        <v>Case-Specific</v>
      </c>
      <c r="F218" s="315" t="str">
        <f>VLOOKUP($A218,'Institution Evaluation'!$A$56:$K$345,3,0)&amp;""</f>
        <v>N/A</v>
      </c>
      <c r="G218" s="315" t="str">
        <f>VLOOKUP($A218,'Institution Evaluation'!$A$56:$K$345,7,0)&amp;""</f>
        <v>No</v>
      </c>
      <c r="H218" s="315" t="str">
        <f>VLOOKUP($A218,'Institution Evaluation'!$A$56:$K$345,8,0)&amp;""</f>
        <v/>
      </c>
      <c r="I218" s="315" t="str">
        <f>VLOOKUP($A218,'Institution Evaluation'!$A$56:$K$345,9,0)&amp;""</f>
        <v>Critical Importance</v>
      </c>
      <c r="J218" s="315" t="str">
        <f>VLOOKUP($A218,'Institution Evaluation'!$A$56:$K$345,10,0)&amp;""</f>
        <v/>
      </c>
      <c r="K218" s="315">
        <f>IF($I218='Auto Responses'!$J$11,20,IF($I218='Auto Responses'!$J$13,5,10))</f>
        <v>20</v>
      </c>
      <c r="L218" s="284">
        <f>IF($E218='Auto Responses'!$L$13, 'Auto Responses'!$J$5,IF(AND($D218='Auto Responses'!$J$27,$H218=""),'Auto Responses'!$J$5,IF(AND($D218='Auto Responses'!$J$27,$H218='Auto Responses'!$J$7),1,IF(AND($D218='Auto Responses'!$J$27,$H218='Auto Responses'!$J$8),0,IF(OR(AND($F218=$G218,$H218=""),$H218='Auto Responses'!$J$7),1,0)))))</f>
        <v>0</v>
      </c>
      <c r="M218" s="315" t="str">
        <f>VLOOKUP($A218,'Institution Evaluation'!$A$56:$K$345,11,0)&amp;""</f>
        <v>FALSCH</v>
      </c>
      <c r="N218" s="315">
        <f>IF($J218='Auto Responses'!$J$11,1,IF(AND($J218="",$I218='Auto Responses'!$J$11),1,0))</f>
        <v>1</v>
      </c>
      <c r="O218" s="284" t="str">
        <f>IF(OR($F$22='Auto Responses'!$J$4,$E218='Auto Responses'!$L$13,$F218='Auto Responses'!$J$5),'Auto Responses'!$J$5,IF($J218="",$K218,IF($J218='Auto Responses'!$J$13,5,IF($J218='Auto Responses'!$J$12,10,IF($J218='Auto Responses'!$J$11,20,0)))))</f>
        <v>N/A</v>
      </c>
      <c r="P218" s="284" t="str">
        <f>IF(OR($O218='Auto Responses'!$J$5,$L218='Auto Responses'!$J$5),'Auto Responses'!$J$5,$O218*$L218)</f>
        <v>N/A</v>
      </c>
      <c r="Q218" s="284">
        <f t="shared" si="22"/>
        <v>0</v>
      </c>
      <c r="R218" s="284">
        <f t="shared" si="26"/>
        <v>0</v>
      </c>
      <c r="S218" s="284">
        <f t="shared" si="23"/>
        <v>0</v>
      </c>
      <c r="T218" s="284">
        <f t="shared" si="24"/>
        <v>1</v>
      </c>
      <c r="U218" s="284">
        <f t="shared" si="27"/>
        <v>62</v>
      </c>
      <c r="V218" s="284">
        <f t="shared" si="25"/>
        <v>62</v>
      </c>
    </row>
    <row r="219" spans="1:22" ht="55.5" customHeight="1" x14ac:dyDescent="0.2">
      <c r="A219" s="315" t="str">
        <f>Questions!$A219</f>
        <v>PCID-04</v>
      </c>
      <c r="B219" s="315" t="str">
        <f t="shared" si="21"/>
        <v>PCID</v>
      </c>
      <c r="C219" s="315" t="str">
        <f>VLOOKUP($A219,Questions!$A$3:$L$333,2,0)&amp;""</f>
        <v>Do your systems or solutions store, process, or transmit cardholder (payment/credit/debt card) data?</v>
      </c>
      <c r="D219" s="315" t="str">
        <f>VLOOKUP($A219,Questions!$A$3:$L$333,11,0)&amp;""</f>
        <v/>
      </c>
      <c r="E219" s="315" t="str">
        <f>VLOOKUP($A219,Questions!$A$3:$L$333,12,0)&amp;""</f>
        <v>Case-Specific</v>
      </c>
      <c r="F219" s="315" t="str">
        <f>VLOOKUP($A219,'Institution Evaluation'!$A$56:$K$345,3,0)&amp;""</f>
        <v>N/A</v>
      </c>
      <c r="G219" s="315" t="str">
        <f>VLOOKUP($A219,'Institution Evaluation'!$A$56:$K$345,7,0)&amp;""</f>
        <v>Yes</v>
      </c>
      <c r="H219" s="315" t="str">
        <f>VLOOKUP($A219,'Institution Evaluation'!$A$56:$K$345,8,0)&amp;""</f>
        <v/>
      </c>
      <c r="I219" s="315" t="str">
        <f>VLOOKUP($A219,'Institution Evaluation'!$A$56:$K$345,9,0)&amp;""</f>
        <v>Standard Importance</v>
      </c>
      <c r="J219" s="315" t="str">
        <f>VLOOKUP($A219,'Institution Evaluation'!$A$56:$K$345,10,0)&amp;""</f>
        <v/>
      </c>
      <c r="K219" s="315">
        <f>IF($I219='Auto Responses'!$J$11,20,IF($I219='Auto Responses'!$J$13,5,10))</f>
        <v>10</v>
      </c>
      <c r="L219" s="284">
        <f>IF($E219='Auto Responses'!$L$13, 'Auto Responses'!$J$5,IF(AND($D219='Auto Responses'!$J$27,$H219=""),'Auto Responses'!$J$5,IF(AND($D219='Auto Responses'!$J$27,$H219='Auto Responses'!$J$7),1,IF(AND($D219='Auto Responses'!$J$27,$H219='Auto Responses'!$J$8),0,IF(OR(AND($F219=$G219,$H219=""),$H219='Auto Responses'!$J$7),1,0)))))</f>
        <v>0</v>
      </c>
      <c r="M219" s="315" t="str">
        <f>VLOOKUP($A219,'Institution Evaluation'!$A$56:$K$345,11,0)&amp;""</f>
        <v>FALSCH</v>
      </c>
      <c r="N219" s="315">
        <f>IF($J219='Auto Responses'!$J$11,1,IF(AND($J219="",$I219='Auto Responses'!$J$11),1,0))</f>
        <v>0</v>
      </c>
      <c r="O219" s="284" t="str">
        <f>IF(OR($F$22='Auto Responses'!$J$4,$E219='Auto Responses'!$L$13,$F219='Auto Responses'!$J$5),'Auto Responses'!$J$5,IF($J219="",$K219,IF($J219='Auto Responses'!$J$13,5,IF($J219='Auto Responses'!$J$12,10,IF($J219='Auto Responses'!$J$11,20,0)))))</f>
        <v>N/A</v>
      </c>
      <c r="P219" s="284" t="str">
        <f>IF(OR($O219='Auto Responses'!$J$5,$L219='Auto Responses'!$J$5),'Auto Responses'!$J$5,$O219*$L219)</f>
        <v>N/A</v>
      </c>
      <c r="Q219" s="284">
        <f t="shared" si="22"/>
        <v>0</v>
      </c>
      <c r="R219" s="284">
        <f t="shared" si="26"/>
        <v>0</v>
      </c>
      <c r="S219" s="284">
        <f t="shared" si="23"/>
        <v>0</v>
      </c>
      <c r="T219" s="284">
        <f t="shared" si="24"/>
        <v>0</v>
      </c>
      <c r="U219" s="284">
        <f t="shared" si="27"/>
        <v>62</v>
      </c>
      <c r="V219" s="284">
        <f t="shared" si="25"/>
        <v>0</v>
      </c>
    </row>
    <row r="220" spans="1:22" ht="55.5" customHeight="1" x14ac:dyDescent="0.2">
      <c r="A220" s="315" t="str">
        <f>Questions!$A220</f>
        <v>PCID-05</v>
      </c>
      <c r="B220" s="315" t="str">
        <f t="shared" si="21"/>
        <v>PCID</v>
      </c>
      <c r="C220" s="315" t="str">
        <f>VLOOKUP($A220,Questions!$A$3:$L$333,2,0)&amp;""</f>
        <v>Are you compliant with the Payment Card Industry Data Security Standard (PCI DSS)?</v>
      </c>
      <c r="D220" s="315" t="str">
        <f>VLOOKUP($A220,Questions!$A$3:$L$333,11,0)&amp;""</f>
        <v/>
      </c>
      <c r="E220" s="315" t="str">
        <f>VLOOKUP($A220,Questions!$A$3:$L$333,12,0)&amp;""</f>
        <v>Case-Specific</v>
      </c>
      <c r="F220" s="315" t="str">
        <f>VLOOKUP($A220,'Institution Evaluation'!$A$56:$K$345,3,0)&amp;""</f>
        <v>N/A</v>
      </c>
      <c r="G220" s="315" t="str">
        <f>VLOOKUP($A220,'Institution Evaluation'!$A$56:$K$345,7,0)&amp;""</f>
        <v>Yes</v>
      </c>
      <c r="H220" s="315" t="str">
        <f>VLOOKUP($A220,'Institution Evaluation'!$A$56:$K$345,8,0)&amp;""</f>
        <v/>
      </c>
      <c r="I220" s="315" t="str">
        <f>VLOOKUP($A220,'Institution Evaluation'!$A$56:$K$345,9,0)&amp;""</f>
        <v>Standard Importance</v>
      </c>
      <c r="J220" s="315" t="str">
        <f>VLOOKUP($A220,'Institution Evaluation'!$A$56:$K$345,10,0)&amp;""</f>
        <v/>
      </c>
      <c r="K220" s="315">
        <f>IF($I220='Auto Responses'!$J$11,20,IF($I220='Auto Responses'!$J$13,5,10))</f>
        <v>10</v>
      </c>
      <c r="L220" s="284">
        <f>IF($E220='Auto Responses'!$L$13, 'Auto Responses'!$J$5,IF(AND($D220='Auto Responses'!$J$27,$H220=""),'Auto Responses'!$J$5,IF(AND($D220='Auto Responses'!$J$27,$H220='Auto Responses'!$J$7),1,IF(AND($D220='Auto Responses'!$J$27,$H220='Auto Responses'!$J$8),0,IF(OR(AND($F220=$G220,$H220=""),$H220='Auto Responses'!$J$7),1,0)))))</f>
        <v>0</v>
      </c>
      <c r="M220" s="315" t="str">
        <f>VLOOKUP($A220,'Institution Evaluation'!$A$56:$K$345,11,0)&amp;""</f>
        <v>FALSCH</v>
      </c>
      <c r="N220" s="315">
        <f>IF($J220='Auto Responses'!$J$11,1,IF(AND($J220="",$I220='Auto Responses'!$J$11),1,0))</f>
        <v>0</v>
      </c>
      <c r="O220" s="284" t="str">
        <f>IF(OR($F$22='Auto Responses'!$J$4,$E220='Auto Responses'!$L$13,$F220='Auto Responses'!$J$5),'Auto Responses'!$J$5,IF($J220="",$K220,IF($J220='Auto Responses'!$J$13,5,IF($J220='Auto Responses'!$J$12,10,IF($J220='Auto Responses'!$J$11,20,0)))))</f>
        <v>N/A</v>
      </c>
      <c r="P220" s="284" t="str">
        <f>IF(OR($O220='Auto Responses'!$J$5,$L220='Auto Responses'!$J$5),'Auto Responses'!$J$5,$O220*$L220)</f>
        <v>N/A</v>
      </c>
      <c r="Q220" s="284">
        <f t="shared" si="22"/>
        <v>0</v>
      </c>
      <c r="R220" s="284">
        <f t="shared" si="26"/>
        <v>0</v>
      </c>
      <c r="S220" s="284">
        <f t="shared" si="23"/>
        <v>0</v>
      </c>
      <c r="T220" s="284">
        <f t="shared" si="24"/>
        <v>0</v>
      </c>
      <c r="U220" s="284">
        <f t="shared" si="27"/>
        <v>62</v>
      </c>
      <c r="V220" s="284">
        <f t="shared" si="25"/>
        <v>0</v>
      </c>
    </row>
    <row r="221" spans="1:22" ht="55.5" customHeight="1" x14ac:dyDescent="0.2">
      <c r="A221" s="315" t="str">
        <f>Questions!$A221</f>
        <v>PCID-06</v>
      </c>
      <c r="B221" s="315" t="str">
        <f t="shared" si="21"/>
        <v>PCID</v>
      </c>
      <c r="C221" s="315" t="str">
        <f>VLOOKUP($A221,Questions!$A$3:$L$333,2,0)&amp;""</f>
        <v>Are you classified as a service provider?</v>
      </c>
      <c r="D221" s="315" t="str">
        <f>VLOOKUP($A221,Questions!$A$3:$L$333,11,0)&amp;""</f>
        <v/>
      </c>
      <c r="E221" s="315" t="str">
        <f>VLOOKUP($A221,Questions!$A$3:$L$333,12,0)&amp;""</f>
        <v>Case-Specific</v>
      </c>
      <c r="F221" s="315" t="str">
        <f>VLOOKUP($A221,'Institution Evaluation'!$A$56:$K$345,3,0)&amp;""</f>
        <v>N/A</v>
      </c>
      <c r="G221" s="315" t="str">
        <f>VLOOKUP($A221,'Institution Evaluation'!$A$56:$K$345,7,0)&amp;""</f>
        <v>Yes</v>
      </c>
      <c r="H221" s="315" t="str">
        <f>VLOOKUP($A221,'Institution Evaluation'!$A$56:$K$345,8,0)&amp;""</f>
        <v/>
      </c>
      <c r="I221" s="315" t="str">
        <f>VLOOKUP($A221,'Institution Evaluation'!$A$56:$K$345,9,0)&amp;""</f>
        <v>Standard Importance</v>
      </c>
      <c r="J221" s="315" t="str">
        <f>VLOOKUP($A221,'Institution Evaluation'!$A$56:$K$345,10,0)&amp;""</f>
        <v/>
      </c>
      <c r="K221" s="315">
        <f>IF($I221='Auto Responses'!$J$11,20,IF($I221='Auto Responses'!$J$13,5,10))</f>
        <v>10</v>
      </c>
      <c r="L221" s="284">
        <f>IF($E221='Auto Responses'!$L$13, 'Auto Responses'!$J$5,IF(AND($D221='Auto Responses'!$J$27,$H221=""),'Auto Responses'!$J$5,IF(AND($D221='Auto Responses'!$J$27,$H221='Auto Responses'!$J$7),1,IF(AND($D221='Auto Responses'!$J$27,$H221='Auto Responses'!$J$8),0,IF(OR(AND($F221=$G221,$H221=""),$H221='Auto Responses'!$J$7),1,0)))))</f>
        <v>0</v>
      </c>
      <c r="M221" s="315" t="str">
        <f>VLOOKUP($A221,'Institution Evaluation'!$A$56:$K$345,11,0)&amp;""</f>
        <v>FALSCH</v>
      </c>
      <c r="N221" s="315">
        <f>IF($J221='Auto Responses'!$J$11,1,IF(AND($J221="",$I221='Auto Responses'!$J$11),1,0))</f>
        <v>0</v>
      </c>
      <c r="O221" s="284" t="str">
        <f>IF(OR($F$22='Auto Responses'!$J$4,$E221='Auto Responses'!$L$13,$F221='Auto Responses'!$J$5),'Auto Responses'!$J$5,IF($J221="",$K221,IF($J221='Auto Responses'!$J$13,5,IF($J221='Auto Responses'!$J$12,10,IF($J221='Auto Responses'!$J$11,20,0)))))</f>
        <v>N/A</v>
      </c>
      <c r="P221" s="284" t="str">
        <f>IF(OR($O221='Auto Responses'!$J$5,$L221='Auto Responses'!$J$5),'Auto Responses'!$J$5,$O221*$L221)</f>
        <v>N/A</v>
      </c>
      <c r="Q221" s="284">
        <f t="shared" si="22"/>
        <v>0</v>
      </c>
      <c r="R221" s="284">
        <f t="shared" si="26"/>
        <v>0</v>
      </c>
      <c r="S221" s="284">
        <f t="shared" si="23"/>
        <v>0</v>
      </c>
      <c r="T221" s="284">
        <f t="shared" si="24"/>
        <v>0</v>
      </c>
      <c r="U221" s="284">
        <f t="shared" si="27"/>
        <v>62</v>
      </c>
      <c r="V221" s="284">
        <f t="shared" si="25"/>
        <v>0</v>
      </c>
    </row>
    <row r="222" spans="1:22" ht="55.5" customHeight="1" x14ac:dyDescent="0.2">
      <c r="A222" s="315" t="str">
        <f>Questions!$A222</f>
        <v>PCID-07</v>
      </c>
      <c r="B222" s="315" t="str">
        <f t="shared" si="21"/>
        <v>PCID</v>
      </c>
      <c r="C222" s="315" t="str">
        <f>VLOOKUP($A222,Questions!$A$3:$L$333,2,0)&amp;""</f>
        <v>Are you on the list of Visa approved service providers?</v>
      </c>
      <c r="D222" s="315" t="str">
        <f>VLOOKUP($A222,Questions!$A$3:$L$333,11,0)&amp;""</f>
        <v/>
      </c>
      <c r="E222" s="315" t="str">
        <f>VLOOKUP($A222,Questions!$A$3:$L$333,12,0)&amp;""</f>
        <v>Case-Specific</v>
      </c>
      <c r="F222" s="315" t="str">
        <f>VLOOKUP($A222,'Institution Evaluation'!$A$56:$K$345,3,0)&amp;""</f>
        <v>N/A</v>
      </c>
      <c r="G222" s="315" t="str">
        <f>VLOOKUP($A222,'Institution Evaluation'!$A$56:$K$345,7,0)&amp;""</f>
        <v>Yes</v>
      </c>
      <c r="H222" s="315" t="str">
        <f>VLOOKUP($A222,'Institution Evaluation'!$A$56:$K$345,8,0)&amp;""</f>
        <v/>
      </c>
      <c r="I222" s="315" t="str">
        <f>VLOOKUP($A222,'Institution Evaluation'!$A$56:$K$345,9,0)&amp;""</f>
        <v>Standard Importance</v>
      </c>
      <c r="J222" s="315" t="str">
        <f>VLOOKUP($A222,'Institution Evaluation'!$A$56:$K$345,10,0)&amp;""</f>
        <v/>
      </c>
      <c r="K222" s="315">
        <f>IF($I222='Auto Responses'!$J$11,20,IF($I222='Auto Responses'!$J$13,5,10))</f>
        <v>10</v>
      </c>
      <c r="L222" s="284">
        <f>IF($E222='Auto Responses'!$L$13, 'Auto Responses'!$J$5,IF(AND($D222='Auto Responses'!$J$27,$H222=""),'Auto Responses'!$J$5,IF(AND($D222='Auto Responses'!$J$27,$H222='Auto Responses'!$J$7),1,IF(AND($D222='Auto Responses'!$J$27,$H222='Auto Responses'!$J$8),0,IF(OR(AND($F222=$G222,$H222=""),$H222='Auto Responses'!$J$7),1,0)))))</f>
        <v>0</v>
      </c>
      <c r="M222" s="315" t="str">
        <f>VLOOKUP($A222,'Institution Evaluation'!$A$56:$K$345,11,0)&amp;""</f>
        <v>FALSCH</v>
      </c>
      <c r="N222" s="315">
        <f>IF($J222='Auto Responses'!$J$11,1,IF(AND($J222="",$I222='Auto Responses'!$J$11),1,0))</f>
        <v>0</v>
      </c>
      <c r="O222" s="284" t="str">
        <f>IF(OR($F$22='Auto Responses'!$J$4,$E222='Auto Responses'!$L$13,$F222='Auto Responses'!$J$5),'Auto Responses'!$J$5,IF($J222="",$K222,IF($J222='Auto Responses'!$J$13,5,IF($J222='Auto Responses'!$J$12,10,IF($J222='Auto Responses'!$J$11,20,0)))))</f>
        <v>N/A</v>
      </c>
      <c r="P222" s="284" t="str">
        <f>IF(OR($O222='Auto Responses'!$J$5,$L222='Auto Responses'!$J$5),'Auto Responses'!$J$5,$O222*$L222)</f>
        <v>N/A</v>
      </c>
      <c r="Q222" s="284">
        <f t="shared" si="22"/>
        <v>0</v>
      </c>
      <c r="R222" s="284">
        <f t="shared" si="26"/>
        <v>0</v>
      </c>
      <c r="S222" s="284">
        <f t="shared" si="23"/>
        <v>0</v>
      </c>
      <c r="T222" s="284">
        <f t="shared" si="24"/>
        <v>0</v>
      </c>
      <c r="U222" s="284">
        <f t="shared" si="27"/>
        <v>62</v>
      </c>
      <c r="V222" s="284">
        <f t="shared" si="25"/>
        <v>0</v>
      </c>
    </row>
    <row r="223" spans="1:22" ht="55.5" customHeight="1" x14ac:dyDescent="0.2">
      <c r="A223" s="315" t="str">
        <f>Questions!$A223</f>
        <v>PCID-08</v>
      </c>
      <c r="B223" s="315" t="str">
        <f t="shared" si="21"/>
        <v>PCID</v>
      </c>
      <c r="C223" s="315" t="str">
        <f>VLOOKUP($A223,Questions!$A$3:$L$333,2,0)&amp;""</f>
        <v>Are you classified as a merchant? If so, what level (1, 2, 3, 4)?</v>
      </c>
      <c r="D223" s="315" t="str">
        <f>VLOOKUP($A223,Questions!$A$3:$L$333,11,0)&amp;""</f>
        <v/>
      </c>
      <c r="E223" s="315" t="str">
        <f>VLOOKUP($A223,Questions!$A$3:$L$333,12,0)&amp;""</f>
        <v>Case-Specific</v>
      </c>
      <c r="F223" s="315" t="str">
        <f>VLOOKUP($A223,'Institution Evaluation'!$A$56:$K$345,3,0)&amp;""</f>
        <v>N/A</v>
      </c>
      <c r="G223" s="315" t="str">
        <f>VLOOKUP($A223,'Institution Evaluation'!$A$56:$K$345,7,0)&amp;""</f>
        <v>Yes</v>
      </c>
      <c r="H223" s="315" t="str">
        <f>VLOOKUP($A223,'Institution Evaluation'!$A$56:$K$345,8,0)&amp;""</f>
        <v/>
      </c>
      <c r="I223" s="315" t="str">
        <f>VLOOKUP($A223,'Institution Evaluation'!$A$56:$K$345,9,0)&amp;""</f>
        <v>Standard Importance</v>
      </c>
      <c r="J223" s="315" t="str">
        <f>VLOOKUP($A223,'Institution Evaluation'!$A$56:$K$345,10,0)&amp;""</f>
        <v/>
      </c>
      <c r="K223" s="315">
        <f>IF($I223='Auto Responses'!$J$11,20,IF($I223='Auto Responses'!$J$13,5,10))</f>
        <v>10</v>
      </c>
      <c r="L223" s="284">
        <f>IF($E223='Auto Responses'!$L$13, 'Auto Responses'!$J$5,IF(AND($D223='Auto Responses'!$J$27,$H223=""),'Auto Responses'!$J$5,IF(AND($D223='Auto Responses'!$J$27,$H223='Auto Responses'!$J$7),1,IF(AND($D223='Auto Responses'!$J$27,$H223='Auto Responses'!$J$8),0,IF(OR(AND($F223=$G223,$H223=""),$H223='Auto Responses'!$J$7),1,0)))))</f>
        <v>0</v>
      </c>
      <c r="M223" s="315" t="str">
        <f>VLOOKUP($A223,'Institution Evaluation'!$A$56:$K$345,11,0)&amp;""</f>
        <v>FALSCH</v>
      </c>
      <c r="N223" s="315">
        <f>IF($J223='Auto Responses'!$J$11,1,IF(AND($J223="",$I223='Auto Responses'!$J$11),1,0))</f>
        <v>0</v>
      </c>
      <c r="O223" s="284" t="str">
        <f>IF(OR($F$22='Auto Responses'!$J$4,$E223='Auto Responses'!$L$13,$F223='Auto Responses'!$J$5),'Auto Responses'!$J$5,IF($J223="",$K223,IF($J223='Auto Responses'!$J$13,5,IF($J223='Auto Responses'!$J$12,10,IF($J223='Auto Responses'!$J$11,20,0)))))</f>
        <v>N/A</v>
      </c>
      <c r="P223" s="284" t="str">
        <f>IF(OR($O223='Auto Responses'!$J$5,$L223='Auto Responses'!$J$5),'Auto Responses'!$J$5,$O223*$L223)</f>
        <v>N/A</v>
      </c>
      <c r="Q223" s="284">
        <f t="shared" si="22"/>
        <v>0</v>
      </c>
      <c r="R223" s="284">
        <f t="shared" si="26"/>
        <v>0</v>
      </c>
      <c r="S223" s="284">
        <f t="shared" si="23"/>
        <v>0</v>
      </c>
      <c r="T223" s="284">
        <f t="shared" si="24"/>
        <v>0</v>
      </c>
      <c r="U223" s="284">
        <f t="shared" si="27"/>
        <v>62</v>
      </c>
      <c r="V223" s="284">
        <f t="shared" si="25"/>
        <v>0</v>
      </c>
    </row>
    <row r="224" spans="1:22" ht="55.5" customHeight="1" x14ac:dyDescent="0.2">
      <c r="A224" s="315" t="str">
        <f>Questions!$A224</f>
        <v>PCID-09</v>
      </c>
      <c r="B224" s="315" t="str">
        <f t="shared" si="21"/>
        <v>PCID</v>
      </c>
      <c r="C224" s="315" t="str">
        <f>VLOOKUP($A224,Questions!$A$3:$L$333,2,0)&amp;""</f>
        <v>Describe the architecture employed by the system to verify and authorize credit card transactions.</v>
      </c>
      <c r="D224" s="315" t="str">
        <f>VLOOKUP($A224,Questions!$A$3:$L$333,11,0)&amp;""</f>
        <v/>
      </c>
      <c r="E224" s="315" t="str">
        <f>VLOOKUP($A224,Questions!$A$3:$L$333,12,0)&amp;""</f>
        <v>Not scored</v>
      </c>
      <c r="F224" s="315" t="str">
        <f>VLOOKUP($A224,'Institution Evaluation'!$A$56:$K$345,3,0)&amp;""</f>
        <v>N/A</v>
      </c>
      <c r="G224" s="315" t="str">
        <f>VLOOKUP($A224,'Institution Evaluation'!$A$56:$K$345,7,0)&amp;""</f>
        <v>Not scored</v>
      </c>
      <c r="H224" s="315" t="str">
        <f>VLOOKUP($A224,'Institution Evaluation'!$A$56:$K$345,8,0)&amp;""</f>
        <v/>
      </c>
      <c r="I224" s="315" t="str">
        <f>VLOOKUP($A224,'Institution Evaluation'!$A$56:$K$345,9,0)&amp;""</f>
        <v/>
      </c>
      <c r="J224" s="315" t="str">
        <f>VLOOKUP($A224,'Institution Evaluation'!$A$56:$K$345,10,0)&amp;""</f>
        <v/>
      </c>
      <c r="K224" s="315">
        <f>IF($I224='Auto Responses'!$J$11,20,IF($I224='Auto Responses'!$J$13,5,10))</f>
        <v>10</v>
      </c>
      <c r="L224" s="284" t="str">
        <f>IF($E224='Auto Responses'!$L$13, 'Auto Responses'!$J$5,IF(AND($D224='Auto Responses'!$J$27,$H224=""),'Auto Responses'!$J$5,IF(AND($D224='Auto Responses'!$J$27,$H224='Auto Responses'!$J$7),1,IF(AND($D224='Auto Responses'!$J$27,$H224='Auto Responses'!$J$8),0,IF(OR(AND($F224=$G224,$H224=""),$H224='Auto Responses'!$J$7),1,0)))))</f>
        <v>N/A</v>
      </c>
      <c r="M224" s="315" t="str">
        <f>VLOOKUP($A224,'Institution Evaluation'!$A$56:$K$345,11,0)&amp;""</f>
        <v>FALSCH</v>
      </c>
      <c r="N224" s="315">
        <f>IF($J224='Auto Responses'!$J$11,1,IF(AND($J224="",$I224='Auto Responses'!$J$11),1,0))</f>
        <v>0</v>
      </c>
      <c r="O224" s="284" t="str">
        <f>IF(OR($F$22='Auto Responses'!$J$4,$E224='Auto Responses'!$L$13,$F224='Auto Responses'!$J$5),'Auto Responses'!$J$5,IF($J224="",$K224,IF($J224='Auto Responses'!$J$13,5,IF($J224='Auto Responses'!$J$12,10,IF($J224='Auto Responses'!$J$11,20,0)))))</f>
        <v>N/A</v>
      </c>
      <c r="P224" s="284" t="str">
        <f>IF(OR($O224='Auto Responses'!$J$5,$L224='Auto Responses'!$J$5),'Auto Responses'!$J$5,$O224*$L224)</f>
        <v>N/A</v>
      </c>
      <c r="Q224" s="284">
        <f t="shared" si="22"/>
        <v>0</v>
      </c>
      <c r="R224" s="284">
        <f t="shared" si="26"/>
        <v>0</v>
      </c>
      <c r="S224" s="284">
        <f t="shared" si="23"/>
        <v>0</v>
      </c>
      <c r="T224" s="284">
        <f t="shared" si="24"/>
        <v>0</v>
      </c>
      <c r="U224" s="284">
        <f t="shared" si="27"/>
        <v>62</v>
      </c>
      <c r="V224" s="284">
        <f t="shared" si="25"/>
        <v>0</v>
      </c>
    </row>
    <row r="225" spans="1:22" ht="55.5" customHeight="1" x14ac:dyDescent="0.2">
      <c r="A225" s="315" t="str">
        <f>Questions!$A225</f>
        <v>PCID-10</v>
      </c>
      <c r="B225" s="315" t="str">
        <f t="shared" si="21"/>
        <v>PCID</v>
      </c>
      <c r="C225" s="315" t="str">
        <f>VLOOKUP($A225,Questions!$A$3:$L$333,2,0)&amp;""</f>
        <v>What payment processors/gateways does the system support?</v>
      </c>
      <c r="D225" s="315" t="str">
        <f>VLOOKUP($A225,Questions!$A$3:$L$333,11,0)&amp;""</f>
        <v/>
      </c>
      <c r="E225" s="315" t="str">
        <f>VLOOKUP($A225,Questions!$A$3:$L$333,12,0)&amp;""</f>
        <v>Not scored</v>
      </c>
      <c r="F225" s="315" t="str">
        <f>VLOOKUP($A225,'Institution Evaluation'!$A$56:$K$345,3,0)&amp;""</f>
        <v>N/A</v>
      </c>
      <c r="G225" s="315" t="str">
        <f>VLOOKUP($A225,'Institution Evaluation'!$A$56:$K$345,7,0)&amp;""</f>
        <v>Not scored</v>
      </c>
      <c r="H225" s="315" t="str">
        <f>VLOOKUP($A225,'Institution Evaluation'!$A$56:$K$345,8,0)&amp;""</f>
        <v/>
      </c>
      <c r="I225" s="315" t="str">
        <f>VLOOKUP($A225,'Institution Evaluation'!$A$56:$K$345,9,0)&amp;""</f>
        <v/>
      </c>
      <c r="J225" s="315" t="str">
        <f>VLOOKUP($A225,'Institution Evaluation'!$A$56:$K$345,10,0)&amp;""</f>
        <v/>
      </c>
      <c r="K225" s="315">
        <f>IF($I225='Auto Responses'!$J$11,20,IF($I225='Auto Responses'!$J$13,5,10))</f>
        <v>10</v>
      </c>
      <c r="L225" s="284" t="str">
        <f>IF($E225='Auto Responses'!$L$13, 'Auto Responses'!$J$5,IF(AND($D225='Auto Responses'!$J$27,$H225=""),'Auto Responses'!$J$5,IF(AND($D225='Auto Responses'!$J$27,$H225='Auto Responses'!$J$7),1,IF(AND($D225='Auto Responses'!$J$27,$H225='Auto Responses'!$J$8),0,IF(OR(AND($F225=$G225,$H225=""),$H225='Auto Responses'!$J$7),1,0)))))</f>
        <v>N/A</v>
      </c>
      <c r="M225" s="315" t="str">
        <f>VLOOKUP($A225,'Institution Evaluation'!$A$56:$K$345,11,0)&amp;""</f>
        <v>FALSCH</v>
      </c>
      <c r="N225" s="315">
        <f>IF($J225='Auto Responses'!$J$11,1,IF(AND($J225="",$I225='Auto Responses'!$J$11),1,0))</f>
        <v>0</v>
      </c>
      <c r="O225" s="284" t="str">
        <f>IF(OR($F$22='Auto Responses'!$J$4,$E225='Auto Responses'!$L$13,$F225='Auto Responses'!$J$5),'Auto Responses'!$J$5,IF($J225="",$K225,IF($J225='Auto Responses'!$J$13,5,IF($J225='Auto Responses'!$J$12,10,IF($J225='Auto Responses'!$J$11,20,0)))))</f>
        <v>N/A</v>
      </c>
      <c r="P225" s="284" t="str">
        <f>IF(OR($O225='Auto Responses'!$J$5,$L225='Auto Responses'!$J$5),'Auto Responses'!$J$5,$O225*$L225)</f>
        <v>N/A</v>
      </c>
      <c r="Q225" s="284">
        <f t="shared" si="22"/>
        <v>0</v>
      </c>
      <c r="R225" s="284">
        <f t="shared" si="26"/>
        <v>0</v>
      </c>
      <c r="S225" s="284">
        <f t="shared" si="23"/>
        <v>0</v>
      </c>
      <c r="T225" s="284">
        <f t="shared" si="24"/>
        <v>0</v>
      </c>
      <c r="U225" s="284">
        <f t="shared" si="27"/>
        <v>62</v>
      </c>
      <c r="V225" s="284">
        <f t="shared" si="25"/>
        <v>0</v>
      </c>
    </row>
    <row r="226" spans="1:22" ht="55.5" customHeight="1" x14ac:dyDescent="0.2">
      <c r="A226" s="315" t="str">
        <f>Questions!$A226</f>
        <v>PCID-11</v>
      </c>
      <c r="B226" s="315" t="str">
        <f t="shared" si="21"/>
        <v>PCID</v>
      </c>
      <c r="C226" s="315" t="str">
        <f>VLOOKUP($A226,Questions!$A$3:$L$333,2,0)&amp;""</f>
        <v>Can the application be installed in a PCI DSS–compliant manner?</v>
      </c>
      <c r="D226" s="315" t="str">
        <f>VLOOKUP($A226,Questions!$A$3:$L$333,11,0)&amp;""</f>
        <v/>
      </c>
      <c r="E226" s="315" t="str">
        <f>VLOOKUP($A226,Questions!$A$3:$L$333,12,0)&amp;""</f>
        <v>Case-Specific</v>
      </c>
      <c r="F226" s="315" t="str">
        <f>VLOOKUP($A226,'Institution Evaluation'!$A$56:$K$345,3,0)&amp;""</f>
        <v>N/A</v>
      </c>
      <c r="G226" s="315" t="str">
        <f>VLOOKUP($A226,'Institution Evaluation'!$A$56:$K$345,7,0)&amp;""</f>
        <v>Yes</v>
      </c>
      <c r="H226" s="315" t="str">
        <f>VLOOKUP($A226,'Institution Evaluation'!$A$56:$K$345,8,0)&amp;""</f>
        <v/>
      </c>
      <c r="I226" s="315" t="str">
        <f>VLOOKUP($A226,'Institution Evaluation'!$A$56:$K$345,9,0)&amp;""</f>
        <v>Minor Importance</v>
      </c>
      <c r="J226" s="315" t="str">
        <f>VLOOKUP($A226,'Institution Evaluation'!$A$56:$K$345,10,0)&amp;""</f>
        <v/>
      </c>
      <c r="K226" s="315">
        <f>IF($I226='Auto Responses'!$J$11,20,IF($I226='Auto Responses'!$J$13,5,10))</f>
        <v>5</v>
      </c>
      <c r="L226" s="284">
        <f>IF($E226='Auto Responses'!$L$13, 'Auto Responses'!$J$5,IF(AND($D226='Auto Responses'!$J$27,$H226=""),'Auto Responses'!$J$5,IF(AND($D226='Auto Responses'!$J$27,$H226='Auto Responses'!$J$7),1,IF(AND($D226='Auto Responses'!$J$27,$H226='Auto Responses'!$J$8),0,IF(OR(AND($F226=$G226,$H226=""),$H226='Auto Responses'!$J$7),1,0)))))</f>
        <v>0</v>
      </c>
      <c r="M226" s="315" t="str">
        <f>VLOOKUP($A226,'Institution Evaluation'!$A$56:$K$345,11,0)&amp;""</f>
        <v>FALSCH</v>
      </c>
      <c r="N226" s="315">
        <f>IF($J226='Auto Responses'!$J$11,1,IF(AND($J226="",$I226='Auto Responses'!$J$11),1,0))</f>
        <v>0</v>
      </c>
      <c r="O226" s="284" t="str">
        <f>IF(OR($F$22='Auto Responses'!$J$4,$E226='Auto Responses'!$L$13,$F226='Auto Responses'!$J$5),'Auto Responses'!$J$5,IF($J226="",$K226,IF($J226='Auto Responses'!$J$13,5,IF($J226='Auto Responses'!$J$12,10,IF($J226='Auto Responses'!$J$11,20,0)))))</f>
        <v>N/A</v>
      </c>
      <c r="P226" s="284" t="str">
        <f>IF(OR($O226='Auto Responses'!$J$5,$L226='Auto Responses'!$J$5),'Auto Responses'!$J$5,$O226*$L226)</f>
        <v>N/A</v>
      </c>
      <c r="Q226" s="284">
        <f t="shared" si="22"/>
        <v>0</v>
      </c>
      <c r="R226" s="284">
        <f t="shared" si="26"/>
        <v>0</v>
      </c>
      <c r="S226" s="284">
        <f t="shared" si="23"/>
        <v>0</v>
      </c>
      <c r="T226" s="284">
        <f t="shared" si="24"/>
        <v>0</v>
      </c>
      <c r="U226" s="284">
        <f t="shared" si="27"/>
        <v>62</v>
      </c>
      <c r="V226" s="284">
        <f t="shared" si="25"/>
        <v>0</v>
      </c>
    </row>
    <row r="227" spans="1:22" ht="69.75" customHeight="1" x14ac:dyDescent="0.2">
      <c r="A227" s="315" t="str">
        <f>Questions!$A227</f>
        <v>PCID-12</v>
      </c>
      <c r="B227" s="315" t="str">
        <f t="shared" si="21"/>
        <v>PCID</v>
      </c>
      <c r="C227" s="315" t="str">
        <f>VLOOKUP($A227,Questions!$A$3:$L$333,2,0)&amp;""</f>
        <v>Include documentation describing the system's abilities to comply with the PCI DSS and any features or capabilities of the system that must be added or changed in order to operate in compliance with the standards.</v>
      </c>
      <c r="D227" s="315" t="str">
        <f>VLOOKUP($A227,Questions!$A$3:$L$333,11,0)&amp;""</f>
        <v/>
      </c>
      <c r="E227" s="315" t="str">
        <f>VLOOKUP($A227,Questions!$A$3:$L$333,12,0)&amp;""</f>
        <v>Not scored</v>
      </c>
      <c r="F227" s="315" t="str">
        <f>VLOOKUP($A227,'Institution Evaluation'!$A$56:$K$345,3,0)&amp;""</f>
        <v>N/A</v>
      </c>
      <c r="G227" s="315" t="str">
        <f>VLOOKUP($A227,'Institution Evaluation'!$A$56:$K$345,7,0)&amp;""</f>
        <v>Not scored</v>
      </c>
      <c r="H227" s="315" t="str">
        <f>VLOOKUP($A227,'Institution Evaluation'!$A$56:$K$345,8,0)&amp;""</f>
        <v/>
      </c>
      <c r="I227" s="315" t="str">
        <f>VLOOKUP($A227,'Institution Evaluation'!$A$56:$K$345,9,0)&amp;""</f>
        <v/>
      </c>
      <c r="J227" s="315" t="str">
        <f>VLOOKUP($A227,'Institution Evaluation'!$A$56:$K$345,10,0)&amp;""</f>
        <v/>
      </c>
      <c r="K227" s="315">
        <f>IF($I227='Auto Responses'!$J$11,20,IF($I227='Auto Responses'!$J$13,5,10))</f>
        <v>10</v>
      </c>
      <c r="L227" s="284" t="str">
        <f>IF($E227='Auto Responses'!$L$13, 'Auto Responses'!$J$5,IF(AND($D227='Auto Responses'!$J$27,$H227=""),'Auto Responses'!$J$5,IF(AND($D227='Auto Responses'!$J$27,$H227='Auto Responses'!$J$7),1,IF(AND($D227='Auto Responses'!$J$27,$H227='Auto Responses'!$J$8),0,IF(OR(AND($F227=$G227,$H227=""),$H227='Auto Responses'!$J$7),1,0)))))</f>
        <v>N/A</v>
      </c>
      <c r="M227" s="315" t="str">
        <f>VLOOKUP($A227,'Institution Evaluation'!$A$56:$K$345,11,0)&amp;""</f>
        <v>FALSCH</v>
      </c>
      <c r="N227" s="315">
        <f>IF($J227='Auto Responses'!$J$11,1,IF(AND($J227="",$I227='Auto Responses'!$J$11),1,0))</f>
        <v>0</v>
      </c>
      <c r="O227" s="284" t="str">
        <f>IF(OR($F$22='Auto Responses'!$J$4,$E227='Auto Responses'!$L$13,$F227='Auto Responses'!$J$5),'Auto Responses'!$J$5,IF($J227="",$K227,IF($J227='Auto Responses'!$J$13,5,IF($J227='Auto Responses'!$J$12,10,IF($J227='Auto Responses'!$J$11,20,0)))))</f>
        <v>N/A</v>
      </c>
      <c r="P227" s="284" t="str">
        <f>IF(OR($O227='Auto Responses'!$J$5,$L227='Auto Responses'!$J$5),'Auto Responses'!$J$5,$O227*$L227)</f>
        <v>N/A</v>
      </c>
      <c r="Q227" s="284">
        <f t="shared" si="22"/>
        <v>0</v>
      </c>
      <c r="R227" s="284">
        <f t="shared" si="26"/>
        <v>0</v>
      </c>
      <c r="S227" s="284">
        <f t="shared" si="23"/>
        <v>0</v>
      </c>
      <c r="T227" s="284">
        <f t="shared" si="24"/>
        <v>0</v>
      </c>
      <c r="U227" s="284">
        <f t="shared" si="27"/>
        <v>62</v>
      </c>
      <c r="V227" s="284">
        <f t="shared" si="25"/>
        <v>0</v>
      </c>
    </row>
    <row r="228" spans="1:22" ht="55.5" customHeight="1" x14ac:dyDescent="0.2">
      <c r="A228" s="315" t="str">
        <f>Questions!$A228</f>
        <v>OPEM-01</v>
      </c>
      <c r="B228" s="315" t="str">
        <f t="shared" si="21"/>
        <v>OPEM</v>
      </c>
      <c r="C228" s="315" t="str">
        <f>VLOOKUP($A228,Questions!$A$3:$L$333,2,0)&amp;""</f>
        <v>Do you support role-based access control (RBAC) for system administrators?</v>
      </c>
      <c r="D228" s="315" t="str">
        <f>VLOOKUP($A228,Questions!$A$3:$L$333,11,0)&amp;""</f>
        <v/>
      </c>
      <c r="E228" s="315" t="str">
        <f>VLOOKUP($A228,Questions!$A$3:$L$333,12,0)&amp;""</f>
        <v>Case-Specific</v>
      </c>
      <c r="F228" s="315" t="str">
        <f>VLOOKUP($A228,'Institution Evaluation'!$A$56:$K$345,3,0)&amp;""</f>
        <v>N/A</v>
      </c>
      <c r="G228" s="315" t="str">
        <f>VLOOKUP($A228,'Institution Evaluation'!$A$56:$K$345,7,0)&amp;""</f>
        <v>Yes</v>
      </c>
      <c r="H228" s="315" t="str">
        <f>VLOOKUP($A228,'Institution Evaluation'!$A$56:$K$345,8,0)&amp;""</f>
        <v/>
      </c>
      <c r="I228" s="315" t="str">
        <f>VLOOKUP($A228,'Institution Evaluation'!$A$56:$K$345,9,0)&amp;""</f>
        <v>Standard Importance</v>
      </c>
      <c r="J228" s="315" t="str">
        <f>VLOOKUP($A228,'Institution Evaluation'!$A$56:$K$345,10,0)&amp;""</f>
        <v/>
      </c>
      <c r="K228" s="315">
        <f>IF($I228='Auto Responses'!$J$11,20,IF($I228='Auto Responses'!$J$13,5,10))</f>
        <v>10</v>
      </c>
      <c r="L228" s="284">
        <f>IF($E228='Auto Responses'!$L$13, 'Auto Responses'!$J$5,IF(AND($D228='Auto Responses'!$J$27,$H228=""),'Auto Responses'!$J$5,IF(AND($D228='Auto Responses'!$J$27,$H228='Auto Responses'!$J$7),1,IF(AND($D228='Auto Responses'!$J$27,$H228='Auto Responses'!$J$8),0,IF(OR(AND($F228=$G228,$H228=""),$H228='Auto Responses'!$J$7),1,0)))))</f>
        <v>0</v>
      </c>
      <c r="M228" s="315" t="str">
        <f>VLOOKUP($A228,'Institution Evaluation'!$A$56:$K$345,11,0)&amp;""</f>
        <v>FALSCH</v>
      </c>
      <c r="N228" s="315">
        <f>IF($J228='Auto Responses'!$J$11,1,IF(AND($J228="",$I228='Auto Responses'!$J$11),1,0))</f>
        <v>0</v>
      </c>
      <c r="O228" s="284" t="str">
        <f>IF(OR($F$23='Auto Responses'!$J$4,$E228='Auto Responses'!$L$13,$F228='Auto Responses'!$J$5),'Auto Responses'!$J$5,IF($J228="",$K228,IF($J228='Auto Responses'!$J$13,5,IF($J228='Auto Responses'!$J$12,10,IF($J228='Auto Responses'!$J$11,20,0)))))</f>
        <v>N/A</v>
      </c>
      <c r="P228" s="284" t="str">
        <f>IF(OR($O228='Auto Responses'!$J$5,$L228='Auto Responses'!$J$5),'Auto Responses'!$J$5,$O228*$L228)</f>
        <v>N/A</v>
      </c>
      <c r="Q228" s="284">
        <f t="shared" si="22"/>
        <v>0</v>
      </c>
      <c r="R228" s="284">
        <f t="shared" si="26"/>
        <v>0</v>
      </c>
      <c r="S228" s="284">
        <f t="shared" si="23"/>
        <v>0</v>
      </c>
      <c r="T228" s="284">
        <f t="shared" si="24"/>
        <v>0</v>
      </c>
      <c r="U228" s="284">
        <f t="shared" si="27"/>
        <v>62</v>
      </c>
      <c r="V228" s="284">
        <f t="shared" si="25"/>
        <v>0</v>
      </c>
    </row>
    <row r="229" spans="1:22" ht="55.5" customHeight="1" x14ac:dyDescent="0.2">
      <c r="A229" s="315" t="str">
        <f>Questions!$A229</f>
        <v>OPEM-02</v>
      </c>
      <c r="B229" s="315" t="str">
        <f t="shared" si="21"/>
        <v>OPEM</v>
      </c>
      <c r="C229" s="315" t="str">
        <f>VLOOKUP($A229,Questions!$A$3:$L$333,2,0)&amp;""</f>
        <v>Can your employees access customer systems remotely?</v>
      </c>
      <c r="D229" s="315" t="str">
        <f>VLOOKUP($A229,Questions!$A$3:$L$333,11,0)&amp;""</f>
        <v/>
      </c>
      <c r="E229" s="315" t="str">
        <f>VLOOKUP($A229,Questions!$A$3:$L$333,12,0)&amp;""</f>
        <v>Case-Specific</v>
      </c>
      <c r="F229" s="315" t="str">
        <f>VLOOKUP($A229,'Institution Evaluation'!$A$56:$K$345,3,0)&amp;""</f>
        <v>N/A</v>
      </c>
      <c r="G229" s="315" t="str">
        <f>VLOOKUP($A229,'Institution Evaluation'!$A$56:$K$345,7,0)&amp;""</f>
        <v>No</v>
      </c>
      <c r="H229" s="315" t="str">
        <f>VLOOKUP($A229,'Institution Evaluation'!$A$56:$K$345,8,0)&amp;""</f>
        <v/>
      </c>
      <c r="I229" s="315" t="str">
        <f>VLOOKUP($A229,'Institution Evaluation'!$A$56:$K$345,9,0)&amp;""</f>
        <v>Standard Importance</v>
      </c>
      <c r="J229" s="315" t="str">
        <f>VLOOKUP($A229,'Institution Evaluation'!$A$56:$K$345,10,0)&amp;""</f>
        <v/>
      </c>
      <c r="K229" s="315">
        <f>IF($I229='Auto Responses'!$J$11,20,IF($I229='Auto Responses'!$J$13,5,10))</f>
        <v>10</v>
      </c>
      <c r="L229" s="284">
        <f>IF($E229='Auto Responses'!$L$13, 'Auto Responses'!$J$5,IF(AND($D229='Auto Responses'!$J$27,$H229=""),'Auto Responses'!$J$5,IF(AND($D229='Auto Responses'!$J$27,$H229='Auto Responses'!$J$7),1,IF(AND($D229='Auto Responses'!$J$27,$H229='Auto Responses'!$J$8),0,IF(OR(AND($F229=$G229,$H229=""),$H229='Auto Responses'!$J$7),1,0)))))</f>
        <v>0</v>
      </c>
      <c r="M229" s="315" t="str">
        <f>VLOOKUP($A229,'Institution Evaluation'!$A$56:$K$345,11,0)&amp;""</f>
        <v>FALSCH</v>
      </c>
      <c r="N229" s="315">
        <f>IF($J229='Auto Responses'!$J$11,1,IF(AND($J229="",$I229='Auto Responses'!$J$11),1,0))</f>
        <v>0</v>
      </c>
      <c r="O229" s="284" t="str">
        <f>IF(OR($F$23='Auto Responses'!$J$4,$E229='Auto Responses'!$L$13,$F229='Auto Responses'!$J$5),'Auto Responses'!$J$5,IF($J229="",$K229,IF($J229='Auto Responses'!$J$13,5,IF($J229='Auto Responses'!$J$12,10,IF($J229='Auto Responses'!$J$11,20,0)))))</f>
        <v>N/A</v>
      </c>
      <c r="P229" s="284" t="str">
        <f>IF(OR($O229='Auto Responses'!$J$5,$L229='Auto Responses'!$J$5),'Auto Responses'!$J$5,$O229*$L229)</f>
        <v>N/A</v>
      </c>
      <c r="Q229" s="284">
        <f t="shared" si="22"/>
        <v>0</v>
      </c>
      <c r="R229" s="284">
        <f t="shared" si="26"/>
        <v>0</v>
      </c>
      <c r="S229" s="284">
        <f t="shared" si="23"/>
        <v>0</v>
      </c>
      <c r="T229" s="284">
        <f t="shared" si="24"/>
        <v>0</v>
      </c>
      <c r="U229" s="284">
        <f t="shared" si="27"/>
        <v>62</v>
      </c>
      <c r="V229" s="284">
        <f t="shared" si="25"/>
        <v>0</v>
      </c>
    </row>
    <row r="230" spans="1:22" ht="55.5" customHeight="1" x14ac:dyDescent="0.2">
      <c r="A230" s="315" t="str">
        <f>Questions!$A230</f>
        <v>OPEM-03</v>
      </c>
      <c r="B230" s="315" t="str">
        <f t="shared" si="21"/>
        <v>OPEM</v>
      </c>
      <c r="C230" s="315" t="str">
        <f>VLOOKUP($A230,Questions!$A$3:$L$333,2,0)&amp;""</f>
        <v>Can you provide overall system and/or application architecture diagrams including a full description of the data communications architecture for all components of the system?</v>
      </c>
      <c r="D230" s="315" t="str">
        <f>VLOOKUP($A230,Questions!$A$3:$L$333,11,0)&amp;""</f>
        <v/>
      </c>
      <c r="E230" s="315" t="str">
        <f>VLOOKUP($A230,Questions!$A$3:$L$333,12,0)&amp;""</f>
        <v>Case-Specific</v>
      </c>
      <c r="F230" s="315" t="str">
        <f>VLOOKUP($A230,'Institution Evaluation'!$A$56:$K$345,3,0)&amp;""</f>
        <v>N/A</v>
      </c>
      <c r="G230" s="315" t="str">
        <f>VLOOKUP($A230,'Institution Evaluation'!$A$56:$K$345,7,0)&amp;""</f>
        <v>Yes</v>
      </c>
      <c r="H230" s="315" t="str">
        <f>VLOOKUP($A230,'Institution Evaluation'!$A$56:$K$345,8,0)&amp;""</f>
        <v/>
      </c>
      <c r="I230" s="315" t="str">
        <f>VLOOKUP($A230,'Institution Evaluation'!$A$56:$K$345,9,0)&amp;""</f>
        <v>Standard Importance</v>
      </c>
      <c r="J230" s="315" t="str">
        <f>VLOOKUP($A230,'Institution Evaluation'!$A$56:$K$345,10,0)&amp;""</f>
        <v/>
      </c>
      <c r="K230" s="315">
        <f>IF($I230='Auto Responses'!$J$11,20,IF($I230='Auto Responses'!$J$13,5,10))</f>
        <v>10</v>
      </c>
      <c r="L230" s="284">
        <f>IF($E230='Auto Responses'!$L$13, 'Auto Responses'!$J$5,IF(AND($D230='Auto Responses'!$J$27,$H230=""),'Auto Responses'!$J$5,IF(AND($D230='Auto Responses'!$J$27,$H230='Auto Responses'!$J$7),1,IF(AND($D230='Auto Responses'!$J$27,$H230='Auto Responses'!$J$8),0,IF(OR(AND($F230=$G230,$H230=""),$H230='Auto Responses'!$J$7),1,0)))))</f>
        <v>0</v>
      </c>
      <c r="M230" s="315" t="str">
        <f>VLOOKUP($A230,'Institution Evaluation'!$A$56:$K$345,11,0)&amp;""</f>
        <v>FALSCH</v>
      </c>
      <c r="N230" s="315">
        <f>IF($J230='Auto Responses'!$J$11,1,IF(AND($J230="",$I230='Auto Responses'!$J$11),1,0))</f>
        <v>0</v>
      </c>
      <c r="O230" s="284" t="str">
        <f>IF(OR($F$23='Auto Responses'!$J$4,$E230='Auto Responses'!$L$13,$F230='Auto Responses'!$J$5),'Auto Responses'!$J$5,IF($J230="",$K230,IF($J230='Auto Responses'!$J$13,5,IF($J230='Auto Responses'!$J$12,10,IF($J230='Auto Responses'!$J$11,20,0)))))</f>
        <v>N/A</v>
      </c>
      <c r="P230" s="284" t="str">
        <f>IF(OR($O230='Auto Responses'!$J$5,$L230='Auto Responses'!$J$5),'Auto Responses'!$J$5,$O230*$L230)</f>
        <v>N/A</v>
      </c>
      <c r="Q230" s="284">
        <f t="shared" si="22"/>
        <v>0</v>
      </c>
      <c r="R230" s="284">
        <f t="shared" si="26"/>
        <v>0</v>
      </c>
      <c r="S230" s="284">
        <f t="shared" si="23"/>
        <v>0</v>
      </c>
      <c r="T230" s="284">
        <f t="shared" si="24"/>
        <v>0</v>
      </c>
      <c r="U230" s="284">
        <f t="shared" si="27"/>
        <v>62</v>
      </c>
      <c r="V230" s="284">
        <f t="shared" si="25"/>
        <v>0</v>
      </c>
    </row>
    <row r="231" spans="1:22" ht="55.5" customHeight="1" x14ac:dyDescent="0.2">
      <c r="A231" s="315" t="str">
        <f>Questions!$A231</f>
        <v>OPEM-04</v>
      </c>
      <c r="B231" s="315" t="str">
        <f t="shared" si="21"/>
        <v>OPEM</v>
      </c>
      <c r="C231" s="315" t="str">
        <f>VLOOKUP($A231,Questions!$A$3:$L$333,2,0)&amp;""</f>
        <v>Do you require remote management of the system?</v>
      </c>
      <c r="D231" s="315" t="str">
        <f>VLOOKUP($A231,Questions!$A$3:$L$333,11,0)&amp;""</f>
        <v/>
      </c>
      <c r="E231" s="315" t="str">
        <f>VLOOKUP($A231,Questions!$A$3:$L$333,12,0)&amp;""</f>
        <v>Case-Specific</v>
      </c>
      <c r="F231" s="315" t="str">
        <f>VLOOKUP($A231,'Institution Evaluation'!$A$56:$K$345,3,0)&amp;""</f>
        <v>N/A</v>
      </c>
      <c r="G231" s="315" t="str">
        <f>VLOOKUP($A231,'Institution Evaluation'!$A$56:$K$345,7,0)&amp;""</f>
        <v>No</v>
      </c>
      <c r="H231" s="315" t="str">
        <f>VLOOKUP($A231,'Institution Evaluation'!$A$56:$K$345,8,0)&amp;""</f>
        <v/>
      </c>
      <c r="I231" s="315" t="str">
        <f>VLOOKUP($A231,'Institution Evaluation'!$A$56:$K$345,9,0)&amp;""</f>
        <v>Standard Importance</v>
      </c>
      <c r="J231" s="315" t="str">
        <f>VLOOKUP($A231,'Institution Evaluation'!$A$56:$K$345,10,0)&amp;""</f>
        <v/>
      </c>
      <c r="K231" s="315">
        <f>IF($I231='Auto Responses'!$J$11,20,IF($I231='Auto Responses'!$J$13,5,10))</f>
        <v>10</v>
      </c>
      <c r="L231" s="284">
        <f>IF($E231='Auto Responses'!$L$13, 'Auto Responses'!$J$5,IF(AND($D231='Auto Responses'!$J$27,$H231=""),'Auto Responses'!$J$5,IF(AND($D231='Auto Responses'!$J$27,$H231='Auto Responses'!$J$7),1,IF(AND($D231='Auto Responses'!$J$27,$H231='Auto Responses'!$J$8),0,IF(OR(AND($F231=$G231,$H231=""),$H231='Auto Responses'!$J$7),1,0)))))</f>
        <v>0</v>
      </c>
      <c r="M231" s="315" t="str">
        <f>VLOOKUP($A231,'Institution Evaluation'!$A$56:$K$345,11,0)&amp;""</f>
        <v>FALSCH</v>
      </c>
      <c r="N231" s="315">
        <f>IF($J231='Auto Responses'!$J$11,1,IF(AND($J231="",$I231='Auto Responses'!$J$11),1,0))</f>
        <v>0</v>
      </c>
      <c r="O231" s="284" t="str">
        <f>IF(OR($F$23='Auto Responses'!$J$4,$E231='Auto Responses'!$L$13,$F231='Auto Responses'!$J$5),'Auto Responses'!$J$5,IF($J231="",$K231,IF($J231='Auto Responses'!$J$13,5,IF($J231='Auto Responses'!$J$12,10,IF($J231='Auto Responses'!$J$11,20,0)))))</f>
        <v>N/A</v>
      </c>
      <c r="P231" s="284" t="str">
        <f>IF(OR($O231='Auto Responses'!$J$5,$L231='Auto Responses'!$J$5),'Auto Responses'!$J$5,$O231*$L231)</f>
        <v>N/A</v>
      </c>
      <c r="Q231" s="284">
        <f t="shared" si="22"/>
        <v>0</v>
      </c>
      <c r="R231" s="284">
        <f t="shared" si="26"/>
        <v>0</v>
      </c>
      <c r="S231" s="284">
        <f t="shared" si="23"/>
        <v>0</v>
      </c>
      <c r="T231" s="284">
        <f t="shared" si="24"/>
        <v>0</v>
      </c>
      <c r="U231" s="284">
        <f t="shared" si="27"/>
        <v>62</v>
      </c>
      <c r="V231" s="284">
        <f t="shared" si="25"/>
        <v>0</v>
      </c>
    </row>
    <row r="232" spans="1:22" ht="55.5" customHeight="1" x14ac:dyDescent="0.2">
      <c r="A232" s="315" t="str">
        <f>Questions!$A232</f>
        <v>OPEM-05</v>
      </c>
      <c r="B232" s="315" t="str">
        <f t="shared" si="21"/>
        <v>OPEM</v>
      </c>
      <c r="C232" s="315" t="str">
        <f>VLOOKUP($A232,Questions!$A$3:$L$333,2,0)&amp;""</f>
        <v>If you answered "yes" to OPEM-04, are your remote actions and changes logged or otherwise visible to the campus?</v>
      </c>
      <c r="D232" s="315" t="str">
        <f>VLOOKUP($A232,Questions!$A$3:$L$333,11,0)&amp;""</f>
        <v/>
      </c>
      <c r="E232" s="315" t="str">
        <f>VLOOKUP($A232,Questions!$A$3:$L$333,12,0)&amp;""</f>
        <v>Case-Specific</v>
      </c>
      <c r="F232" s="315" t="str">
        <f>VLOOKUP($A232,'Institution Evaluation'!$A$56:$K$345,3,0)&amp;""</f>
        <v>N/A</v>
      </c>
      <c r="G232" s="315" t="str">
        <f>VLOOKUP($A232,'Institution Evaluation'!$A$56:$K$345,7,0)&amp;""</f>
        <v>Yes</v>
      </c>
      <c r="H232" s="315" t="str">
        <f>VLOOKUP($A232,'Institution Evaluation'!$A$56:$K$345,8,0)&amp;""</f>
        <v/>
      </c>
      <c r="I232" s="315" t="str">
        <f>VLOOKUP($A232,'Institution Evaluation'!$A$56:$K$345,9,0)&amp;""</f>
        <v>Standard Importance</v>
      </c>
      <c r="J232" s="315" t="str">
        <f>VLOOKUP($A232,'Institution Evaluation'!$A$56:$K$345,10,0)&amp;""</f>
        <v/>
      </c>
      <c r="K232" s="315">
        <f>IF($I232='Auto Responses'!$J$11,20,IF($I232='Auto Responses'!$J$13,5,10))</f>
        <v>10</v>
      </c>
      <c r="L232" s="284">
        <f>IF($E232='Auto Responses'!$L$13, 'Auto Responses'!$J$5,IF(AND($D232='Auto Responses'!$J$27,$H232=""),'Auto Responses'!$J$5,IF(AND($D232='Auto Responses'!$J$27,$H232='Auto Responses'!$J$7),1,IF(AND($D232='Auto Responses'!$J$27,$H232='Auto Responses'!$J$8),0,IF(OR(AND($F232=$G232,$H232=""),$H232='Auto Responses'!$J$7),1,0)))))</f>
        <v>0</v>
      </c>
      <c r="M232" s="315" t="str">
        <f>VLOOKUP($A232,'Institution Evaluation'!$A$56:$K$345,11,0)&amp;""</f>
        <v>FALSCH</v>
      </c>
      <c r="N232" s="315">
        <f>IF($J232='Auto Responses'!$J$11,1,IF(AND($J232="",$I232='Auto Responses'!$J$11),1,0))</f>
        <v>0</v>
      </c>
      <c r="O232" s="284" t="str">
        <f>IF(OR($F$23='Auto Responses'!$J$4,$E232='Auto Responses'!$L$13,$F232='Auto Responses'!$J$5),'Auto Responses'!$J$5,IF($J232="",$K232,IF($J232='Auto Responses'!$J$13,5,IF($J232='Auto Responses'!$J$12,10,IF($J232='Auto Responses'!$J$11,20,0)))))</f>
        <v>N/A</v>
      </c>
      <c r="P232" s="284" t="str">
        <f>IF(OR($O232='Auto Responses'!$J$5,$L232='Auto Responses'!$J$5),'Auto Responses'!$J$5,$O232*$L232)</f>
        <v>N/A</v>
      </c>
      <c r="Q232" s="284">
        <f t="shared" si="22"/>
        <v>0</v>
      </c>
      <c r="R232" s="284">
        <f t="shared" si="26"/>
        <v>0</v>
      </c>
      <c r="S232" s="284">
        <f t="shared" si="23"/>
        <v>0</v>
      </c>
      <c r="T232" s="284">
        <f t="shared" si="24"/>
        <v>0</v>
      </c>
      <c r="U232" s="284">
        <f t="shared" si="27"/>
        <v>62</v>
      </c>
      <c r="V232" s="284">
        <f t="shared" si="25"/>
        <v>0</v>
      </c>
    </row>
    <row r="233" spans="1:22" ht="55.5" customHeight="1" x14ac:dyDescent="0.2">
      <c r="A233" s="315" t="str">
        <f>Questions!$A233</f>
        <v>OPEM-06</v>
      </c>
      <c r="B233" s="315" t="str">
        <f t="shared" si="21"/>
        <v>OPEM</v>
      </c>
      <c r="C233" s="315" t="str">
        <f>VLOOKUP($A233,Questions!$A$3:$L$333,2,0)&amp;""</f>
        <v>If you maintain remote access to the system, will you handle data in a FERPA-compliant manner?</v>
      </c>
      <c r="D233" s="315" t="str">
        <f>VLOOKUP($A233,Questions!$A$3:$L$333,11,0)&amp;""</f>
        <v/>
      </c>
      <c r="E233" s="315" t="str">
        <f>VLOOKUP($A233,Questions!$A$3:$L$333,12,0)&amp;""</f>
        <v>Case-Specific</v>
      </c>
      <c r="F233" s="315" t="str">
        <f>VLOOKUP($A233,'Institution Evaluation'!$A$56:$K$345,3,0)&amp;""</f>
        <v>N/A</v>
      </c>
      <c r="G233" s="315" t="str">
        <f>VLOOKUP($A233,'Institution Evaluation'!$A$56:$K$345,7,0)&amp;""</f>
        <v>Yes</v>
      </c>
      <c r="H233" s="315" t="str">
        <f>VLOOKUP($A233,'Institution Evaluation'!$A$56:$K$345,8,0)&amp;""</f>
        <v/>
      </c>
      <c r="I233" s="315" t="str">
        <f>VLOOKUP($A233,'Institution Evaluation'!$A$56:$K$345,9,0)&amp;""</f>
        <v>Standard Importance</v>
      </c>
      <c r="J233" s="315" t="str">
        <f>VLOOKUP($A233,'Institution Evaluation'!$A$56:$K$345,10,0)&amp;""</f>
        <v/>
      </c>
      <c r="K233" s="315">
        <f>IF($I233='Auto Responses'!$J$11,20,IF($I233='Auto Responses'!$J$13,5,10))</f>
        <v>10</v>
      </c>
      <c r="L233" s="284">
        <f>IF($E233='Auto Responses'!$L$13, 'Auto Responses'!$J$5,IF(AND($D233='Auto Responses'!$J$27,$H233=""),'Auto Responses'!$J$5,IF(AND($D233='Auto Responses'!$J$27,$H233='Auto Responses'!$J$7),1,IF(AND($D233='Auto Responses'!$J$27,$H233='Auto Responses'!$J$8),0,IF(OR(AND($F233=$G233,$H233=""),$H233='Auto Responses'!$J$7),1,0)))))</f>
        <v>0</v>
      </c>
      <c r="M233" s="315" t="str">
        <f>VLOOKUP($A233,'Institution Evaluation'!$A$56:$K$345,11,0)&amp;""</f>
        <v>FALSCH</v>
      </c>
      <c r="N233" s="315">
        <f>IF($J233='Auto Responses'!$J$11,1,IF(AND($J233="",$I233='Auto Responses'!$J$11),1,0))</f>
        <v>0</v>
      </c>
      <c r="O233" s="284" t="str">
        <f>IF(OR($F$23='Auto Responses'!$J$4,$E233='Auto Responses'!$L$13,$F233='Auto Responses'!$J$5),'Auto Responses'!$J$5,IF($J233="",$K233,IF($J233='Auto Responses'!$J$13,5,IF($J233='Auto Responses'!$J$12,10,IF($J233='Auto Responses'!$J$11,20,0)))))</f>
        <v>N/A</v>
      </c>
      <c r="P233" s="284" t="str">
        <f>IF(OR($O233='Auto Responses'!$J$5,$L233='Auto Responses'!$J$5),'Auto Responses'!$J$5,$O233*$L233)</f>
        <v>N/A</v>
      </c>
      <c r="Q233" s="284">
        <f t="shared" si="22"/>
        <v>0</v>
      </c>
      <c r="R233" s="284">
        <f t="shared" si="26"/>
        <v>0</v>
      </c>
      <c r="S233" s="284">
        <f t="shared" si="23"/>
        <v>0</v>
      </c>
      <c r="T233" s="284">
        <f t="shared" si="24"/>
        <v>0</v>
      </c>
      <c r="U233" s="284">
        <f t="shared" si="27"/>
        <v>62</v>
      </c>
      <c r="V233" s="284">
        <f t="shared" si="25"/>
        <v>0</v>
      </c>
    </row>
    <row r="234" spans="1:22" ht="55.5" customHeight="1" x14ac:dyDescent="0.2">
      <c r="A234" s="315" t="str">
        <f>Questions!$A234</f>
        <v>OPEM-07</v>
      </c>
      <c r="B234" s="315" t="str">
        <f t="shared" si="21"/>
        <v>OPEM</v>
      </c>
      <c r="C234" s="315" t="str">
        <f>VLOOKUP($A234,Questions!$A$3:$L$333,2,0)&amp;""</f>
        <v>Do you support campus status monitoring through SNMPv3 or other means?</v>
      </c>
      <c r="D234" s="315" t="str">
        <f>VLOOKUP($A234,Questions!$A$3:$L$333,11,0)&amp;""</f>
        <v/>
      </c>
      <c r="E234" s="315" t="str">
        <f>VLOOKUP($A234,Questions!$A$3:$L$333,12,0)&amp;""</f>
        <v>Case-Specific</v>
      </c>
      <c r="F234" s="315" t="str">
        <f>VLOOKUP($A234,'Institution Evaluation'!$A$56:$K$345,3,0)&amp;""</f>
        <v>N/A</v>
      </c>
      <c r="G234" s="315" t="str">
        <f>VLOOKUP($A234,'Institution Evaluation'!$A$56:$K$345,7,0)&amp;""</f>
        <v>Yes</v>
      </c>
      <c r="H234" s="315" t="str">
        <f>VLOOKUP($A234,'Institution Evaluation'!$A$56:$K$345,8,0)&amp;""</f>
        <v/>
      </c>
      <c r="I234" s="315" t="str">
        <f>VLOOKUP($A234,'Institution Evaluation'!$A$56:$K$345,9,0)&amp;""</f>
        <v>Standard Importance</v>
      </c>
      <c r="J234" s="315" t="str">
        <f>VLOOKUP($A234,'Institution Evaluation'!$A$56:$K$345,10,0)&amp;""</f>
        <v/>
      </c>
      <c r="K234" s="315">
        <f>IF($I234='Auto Responses'!$J$11,20,IF($I234='Auto Responses'!$J$13,5,10))</f>
        <v>10</v>
      </c>
      <c r="L234" s="284">
        <f>IF($E234='Auto Responses'!$L$13, 'Auto Responses'!$J$5,IF(AND($D234='Auto Responses'!$J$27,$H234=""),'Auto Responses'!$J$5,IF(AND($D234='Auto Responses'!$J$27,$H234='Auto Responses'!$J$7),1,IF(AND($D234='Auto Responses'!$J$27,$H234='Auto Responses'!$J$8),0,IF(OR(AND($F234=$G234,$H234=""),$H234='Auto Responses'!$J$7),1,0)))))</f>
        <v>0</v>
      </c>
      <c r="M234" s="315" t="str">
        <f>VLOOKUP($A234,'Institution Evaluation'!$A$56:$K$345,11,0)&amp;""</f>
        <v>FALSCH</v>
      </c>
      <c r="N234" s="315">
        <f>IF($J234='Auto Responses'!$J$11,1,IF(AND($J234="",$I234='Auto Responses'!$J$11),1,0))</f>
        <v>0</v>
      </c>
      <c r="O234" s="284" t="str">
        <f>IF(OR($F$23='Auto Responses'!$J$4,$E234='Auto Responses'!$L$13,$F234='Auto Responses'!$J$5),'Auto Responses'!$J$5,IF($J234="",$K234,IF($J234='Auto Responses'!$J$13,5,IF($J234='Auto Responses'!$J$12,10,IF($J234='Auto Responses'!$J$11,20,0)))))</f>
        <v>N/A</v>
      </c>
      <c r="P234" s="284" t="str">
        <f>IF(OR($O234='Auto Responses'!$J$5,$L234='Auto Responses'!$J$5),'Auto Responses'!$J$5,$O234*$L234)</f>
        <v>N/A</v>
      </c>
      <c r="Q234" s="284">
        <f t="shared" si="22"/>
        <v>0</v>
      </c>
      <c r="R234" s="284">
        <f t="shared" si="26"/>
        <v>0</v>
      </c>
      <c r="S234" s="284">
        <f t="shared" si="23"/>
        <v>0</v>
      </c>
      <c r="T234" s="284">
        <f t="shared" si="24"/>
        <v>0</v>
      </c>
      <c r="U234" s="284">
        <f t="shared" si="27"/>
        <v>62</v>
      </c>
      <c r="V234" s="284">
        <f t="shared" si="25"/>
        <v>0</v>
      </c>
    </row>
    <row r="235" spans="1:22" ht="55.5" customHeight="1" x14ac:dyDescent="0.2">
      <c r="A235" s="315" t="str">
        <f>Questions!$A235</f>
        <v>OPEM-08</v>
      </c>
      <c r="B235" s="315" t="str">
        <f t="shared" si="21"/>
        <v>OPEM</v>
      </c>
      <c r="C235" s="315" t="str">
        <f>VLOOKUP($A235,Questions!$A$3:$L$333,2,0)&amp;""</f>
        <v>Describe or provide a reference to any other safeguards used to monitor for malicious activity.</v>
      </c>
      <c r="D235" s="315" t="str">
        <f>VLOOKUP($A235,Questions!$A$3:$L$333,11,0)&amp;""</f>
        <v/>
      </c>
      <c r="E235" s="315" t="str">
        <f>VLOOKUP($A235,Questions!$A$3:$L$333,12,0)&amp;""</f>
        <v>Not scored</v>
      </c>
      <c r="F235" s="315" t="str">
        <f>VLOOKUP($A235,'Institution Evaluation'!$A$56:$K$345,3,0)&amp;""</f>
        <v>N/A</v>
      </c>
      <c r="G235" s="315" t="str">
        <f>VLOOKUP($A235,'Institution Evaluation'!$A$56:$K$345,7,0)&amp;""</f>
        <v>Not scored</v>
      </c>
      <c r="H235" s="315" t="str">
        <f>VLOOKUP($A235,'Institution Evaluation'!$A$56:$K$345,8,0)&amp;""</f>
        <v/>
      </c>
      <c r="I235" s="315" t="str">
        <f>VLOOKUP($A235,'Institution Evaluation'!$A$56:$K$345,9,0)&amp;""</f>
        <v/>
      </c>
      <c r="J235" s="315" t="str">
        <f>VLOOKUP($A235,'Institution Evaluation'!$A$56:$K$345,10,0)&amp;""</f>
        <v/>
      </c>
      <c r="K235" s="315">
        <f>IF($I235='Auto Responses'!$J$11,20,IF($I235='Auto Responses'!$J$13,5,10))</f>
        <v>10</v>
      </c>
      <c r="L235" s="284" t="str">
        <f>IF($E235='Auto Responses'!$L$13, 'Auto Responses'!$J$5,IF(AND($D235='Auto Responses'!$J$27,$H235=""),'Auto Responses'!$J$5,IF(AND($D235='Auto Responses'!$J$27,$H235='Auto Responses'!$J$7),1,IF(AND($D235='Auto Responses'!$J$27,$H235='Auto Responses'!$J$8),0,IF(OR(AND($F235=$G235,$H235=""),$H235='Auto Responses'!$J$7),1,0)))))</f>
        <v>N/A</v>
      </c>
      <c r="M235" s="315" t="str">
        <f>VLOOKUP($A235,'Institution Evaluation'!$A$56:$K$345,11,0)&amp;""</f>
        <v>FALSCH</v>
      </c>
      <c r="N235" s="315">
        <f>IF($J235='Auto Responses'!$J$11,1,IF(AND($J235="",$I235='Auto Responses'!$J$11),1,0))</f>
        <v>0</v>
      </c>
      <c r="O235" s="284" t="str">
        <f>IF(OR($F$23='Auto Responses'!$J$4,$E235='Auto Responses'!$L$13,$F235='Auto Responses'!$J$5),'Auto Responses'!$J$5,IF($J235="",$K235,IF($J235='Auto Responses'!$J$13,5,IF($J235='Auto Responses'!$J$12,10,IF($J235='Auto Responses'!$J$11,20,0)))))</f>
        <v>N/A</v>
      </c>
      <c r="P235" s="284" t="str">
        <f>IF(OR($O235='Auto Responses'!$J$5,$L235='Auto Responses'!$J$5),'Auto Responses'!$J$5,$O235*$L235)</f>
        <v>N/A</v>
      </c>
      <c r="Q235" s="284">
        <f t="shared" si="22"/>
        <v>0</v>
      </c>
      <c r="R235" s="284">
        <f t="shared" si="26"/>
        <v>0</v>
      </c>
      <c r="S235" s="284">
        <f t="shared" si="23"/>
        <v>0</v>
      </c>
      <c r="T235" s="284">
        <f t="shared" si="24"/>
        <v>0</v>
      </c>
      <c r="U235" s="284">
        <f t="shared" si="27"/>
        <v>62</v>
      </c>
      <c r="V235" s="284">
        <f t="shared" si="25"/>
        <v>0</v>
      </c>
    </row>
    <row r="236" spans="1:22" ht="55.5" customHeight="1" x14ac:dyDescent="0.2">
      <c r="A236" s="315" t="str">
        <f>Questions!$A236</f>
        <v>OPEM-09</v>
      </c>
      <c r="B236" s="315" t="str">
        <f t="shared" si="21"/>
        <v>OPEM</v>
      </c>
      <c r="C236" s="315" t="str">
        <f>VLOOKUP($A236,Questions!$A$3:$L$333,2,0)&amp;""</f>
        <v>Describe how long your organization has conducted business in this area.</v>
      </c>
      <c r="D236" s="315" t="str">
        <f>VLOOKUP($A236,Questions!$A$3:$L$333,11,0)&amp;""</f>
        <v/>
      </c>
      <c r="E236" s="315" t="str">
        <f>VLOOKUP($A236,Questions!$A$3:$L$333,12,0)&amp;""</f>
        <v>Not scored</v>
      </c>
      <c r="F236" s="315" t="str">
        <f>VLOOKUP($A236,'Institution Evaluation'!$A$56:$K$345,3,0)&amp;""</f>
        <v>N/A</v>
      </c>
      <c r="G236" s="315" t="str">
        <f>VLOOKUP($A236,'Institution Evaluation'!$A$56:$K$345,7,0)&amp;""</f>
        <v>Not scored</v>
      </c>
      <c r="H236" s="315" t="str">
        <f>VLOOKUP($A236,'Institution Evaluation'!$A$56:$K$345,8,0)&amp;""</f>
        <v/>
      </c>
      <c r="I236" s="315" t="str">
        <f>VLOOKUP($A236,'Institution Evaluation'!$A$56:$K$345,9,0)&amp;""</f>
        <v/>
      </c>
      <c r="J236" s="315" t="str">
        <f>VLOOKUP($A236,'Institution Evaluation'!$A$56:$K$345,10,0)&amp;""</f>
        <v/>
      </c>
      <c r="K236" s="315">
        <f>IF($I236='Auto Responses'!$J$11,20,IF($I236='Auto Responses'!$J$13,5,10))</f>
        <v>10</v>
      </c>
      <c r="L236" s="284" t="str">
        <f>IF($E236='Auto Responses'!$L$13, 'Auto Responses'!$J$5,IF(AND($D236='Auto Responses'!$J$27,$H236=""),'Auto Responses'!$J$5,IF(AND($D236='Auto Responses'!$J$27,$H236='Auto Responses'!$J$7),1,IF(AND($D236='Auto Responses'!$J$27,$H236='Auto Responses'!$J$8),0,IF(OR(AND($F236=$G236,$H236=""),$H236='Auto Responses'!$J$7),1,0)))))</f>
        <v>N/A</v>
      </c>
      <c r="M236" s="315" t="str">
        <f>VLOOKUP($A236,'Institution Evaluation'!$A$56:$K$345,11,0)&amp;""</f>
        <v>FALSCH</v>
      </c>
      <c r="N236" s="315">
        <f>IF($J236='Auto Responses'!$J$11,1,IF(AND($J236="",$I236='Auto Responses'!$J$11),1,0))</f>
        <v>0</v>
      </c>
      <c r="O236" s="284" t="str">
        <f>IF(OR($F$23='Auto Responses'!$J$4,$E236='Auto Responses'!$L$13,$F236='Auto Responses'!$J$5),'Auto Responses'!$J$5,IF($J236="",$K236,IF($J236='Auto Responses'!$J$13,5,IF($J236='Auto Responses'!$J$12,10,IF($J236='Auto Responses'!$J$11,20,0)))))</f>
        <v>N/A</v>
      </c>
      <c r="P236" s="284" t="str">
        <f>IF(OR($O236='Auto Responses'!$J$5,$L236='Auto Responses'!$J$5),'Auto Responses'!$J$5,$O236*$L236)</f>
        <v>N/A</v>
      </c>
      <c r="Q236" s="284">
        <f t="shared" si="22"/>
        <v>0</v>
      </c>
      <c r="R236" s="284">
        <f t="shared" si="26"/>
        <v>0</v>
      </c>
      <c r="S236" s="284">
        <f t="shared" si="23"/>
        <v>0</v>
      </c>
      <c r="T236" s="284">
        <f t="shared" si="24"/>
        <v>0</v>
      </c>
      <c r="U236" s="284">
        <f t="shared" si="27"/>
        <v>62</v>
      </c>
      <c r="V236" s="284">
        <f t="shared" si="25"/>
        <v>0</v>
      </c>
    </row>
    <row r="237" spans="1:22" ht="55.5" customHeight="1" x14ac:dyDescent="0.2">
      <c r="A237" s="315" t="str">
        <f>Questions!$A237</f>
        <v>OPEM-10</v>
      </c>
      <c r="B237" s="315" t="str">
        <f t="shared" si="21"/>
        <v>OPEM</v>
      </c>
      <c r="C237" s="315" t="str">
        <f>VLOOKUP($A237,Questions!$A$3:$L$333,2,0)&amp;""</f>
        <v>Do you have existing higher education customers?</v>
      </c>
      <c r="D237" s="315" t="str">
        <f>VLOOKUP($A237,Questions!$A$3:$L$333,11,0)&amp;""</f>
        <v/>
      </c>
      <c r="E237" s="315" t="str">
        <f>VLOOKUP($A237,Questions!$A$3:$L$333,12,0)&amp;""</f>
        <v>Case-Specific</v>
      </c>
      <c r="F237" s="315" t="str">
        <f>VLOOKUP($A237,'Institution Evaluation'!$A$56:$K$345,3,0)&amp;""</f>
        <v>N/A</v>
      </c>
      <c r="G237" s="315" t="str">
        <f>VLOOKUP($A237,'Institution Evaluation'!$A$56:$K$345,7,0)&amp;""</f>
        <v>Yes</v>
      </c>
      <c r="H237" s="315" t="str">
        <f>VLOOKUP($A237,'Institution Evaluation'!$A$56:$K$345,8,0)&amp;""</f>
        <v/>
      </c>
      <c r="I237" s="315" t="str">
        <f>VLOOKUP($A237,'Institution Evaluation'!$A$56:$K$345,9,0)&amp;""</f>
        <v>Minor Importance</v>
      </c>
      <c r="J237" s="315" t="str">
        <f>VLOOKUP($A237,'Institution Evaluation'!$A$56:$K$345,10,0)&amp;""</f>
        <v/>
      </c>
      <c r="K237" s="315">
        <f>IF($I237='Auto Responses'!$J$11,20,IF($I237='Auto Responses'!$J$13,5,10))</f>
        <v>5</v>
      </c>
      <c r="L237" s="284">
        <f>IF($E237='Auto Responses'!$L$13, 'Auto Responses'!$J$5,IF(AND($D237='Auto Responses'!$J$27,$H237=""),'Auto Responses'!$J$5,IF(AND($D237='Auto Responses'!$J$27,$H237='Auto Responses'!$J$7),1,IF(AND($D237='Auto Responses'!$J$27,$H237='Auto Responses'!$J$8),0,IF(OR(AND($F237=$G237,$H237=""),$H237='Auto Responses'!$J$7),1,0)))))</f>
        <v>0</v>
      </c>
      <c r="M237" s="315" t="str">
        <f>VLOOKUP($A237,'Institution Evaluation'!$A$56:$K$345,11,0)&amp;""</f>
        <v>FALSCH</v>
      </c>
      <c r="N237" s="315">
        <f>IF($J237='Auto Responses'!$J$11,1,IF(AND($J237="",$I237='Auto Responses'!$J$11),1,0))</f>
        <v>0</v>
      </c>
      <c r="O237" s="284" t="str">
        <f>IF(OR($F$23='Auto Responses'!$J$4,$E237='Auto Responses'!$L$13,$F237='Auto Responses'!$J$5),'Auto Responses'!$J$5,IF($J237="",$K237,IF($J237='Auto Responses'!$J$13,5,IF($J237='Auto Responses'!$J$12,10,IF($J237='Auto Responses'!$J$11,20,0)))))</f>
        <v>N/A</v>
      </c>
      <c r="P237" s="284" t="str">
        <f>IF(OR($O237='Auto Responses'!$J$5,$L237='Auto Responses'!$J$5),'Auto Responses'!$J$5,$O237*$L237)</f>
        <v>N/A</v>
      </c>
      <c r="Q237" s="284">
        <f t="shared" si="22"/>
        <v>0</v>
      </c>
      <c r="R237" s="284">
        <f t="shared" si="26"/>
        <v>0</v>
      </c>
      <c r="S237" s="284">
        <f t="shared" si="23"/>
        <v>0</v>
      </c>
      <c r="T237" s="284">
        <f t="shared" si="24"/>
        <v>0</v>
      </c>
      <c r="U237" s="284">
        <f t="shared" si="27"/>
        <v>62</v>
      </c>
      <c r="V237" s="284">
        <f t="shared" si="25"/>
        <v>0</v>
      </c>
    </row>
    <row r="238" spans="1:22" ht="55.5" customHeight="1" x14ac:dyDescent="0.2">
      <c r="A238" s="315" t="str">
        <f>Questions!$A238</f>
        <v>PRGN-01</v>
      </c>
      <c r="B238" s="315" t="str">
        <f t="shared" si="21"/>
        <v>PRGN</v>
      </c>
      <c r="C238" s="315" t="str">
        <f>VLOOKUP($A238,Questions!$A$3:$L$333,2,0)&amp;""</f>
        <v>Does your solution process FERPA-related data?</v>
      </c>
      <c r="D238" s="315" t="str">
        <f>VLOOKUP($A238,Questions!$A$3:$L$333,11,0)&amp;""</f>
        <v>NA</v>
      </c>
      <c r="E238" s="315" t="str">
        <f>VLOOKUP($A238,Questions!$A$3:$L$333,12,0)&amp;""</f>
        <v>Not scored</v>
      </c>
      <c r="F238" s="315" t="str">
        <f>VLOOKUP($A238,'Privacy Analyst Evaluation'!$A$46:$K$120,3,0)&amp;""</f>
        <v>No</v>
      </c>
      <c r="G238" s="315" t="str">
        <f>VLOOKUP($A238,'Privacy Analyst Evaluation'!$A$46:$K$120,7,0)&amp;""</f>
        <v>Not scored</v>
      </c>
      <c r="H238" s="315" t="str">
        <f>VLOOKUP($A238,'Privacy Analyst Evaluation'!$A$46:$K$120,8,0)&amp;""</f>
        <v/>
      </c>
      <c r="I238" s="315" t="str">
        <f>VLOOKUP($A238,'Privacy Analyst Evaluation'!$A$46:$K$120,9,0)&amp;""</f>
        <v/>
      </c>
      <c r="J238" s="315" t="str">
        <f>VLOOKUP($A238,'Privacy Analyst Evaluation'!$A$46:$K$120,10,0)&amp;""</f>
        <v/>
      </c>
      <c r="K238" s="315">
        <f>IF($I238='Auto Responses'!$J$11,20,IF($I238='Auto Responses'!$J$13,5,10))</f>
        <v>10</v>
      </c>
      <c r="L238" s="284" t="str">
        <f>IF($E238='Auto Responses'!$L$13, 'Auto Responses'!$J$5,IF(AND($D238='Auto Responses'!$J$27,$H238=""),'Auto Responses'!$J$5,IF(AND($D238='Auto Responses'!$J$27,$H238='Auto Responses'!$J$7),1,IF(AND($D238='Auto Responses'!$J$27,$H238='Auto Responses'!$J$8),0,IF(OR(AND($F238=$G238,$H238=""),$H238='Auto Responses'!$J$7),1,0)))))</f>
        <v>N/A</v>
      </c>
      <c r="M238" s="315" t="str">
        <f>VLOOKUP($A238,'Privacy Analyst Evaluation'!$A$46:$K$120,11,0)&amp;""</f>
        <v>FALSCH</v>
      </c>
      <c r="N238" s="315">
        <f>IF($J238='Auto Responses'!$J$11,1,IF(AND($J238="",$I238='Auto Responses'!$J$11),1,0))</f>
        <v>0</v>
      </c>
      <c r="O238" s="284" t="str">
        <f>IF(OR($E238='Auto Responses'!$L$13,$F$24='Auto Responses'!$J$4,$F238='Auto Responses'!$J$5),'Auto Responses'!$J$5,IF($J238="",$K238,IF($J238='Auto Responses'!$J$13,5,IF($J238='Auto Responses'!$J$12,10,IF($J238='Auto Responses'!$J$11,20,0)))))</f>
        <v>N/A</v>
      </c>
      <c r="P238" s="284" t="str">
        <f>IF(OR($O238='Auto Responses'!$J$5,$L238='Auto Responses'!$J$5),'Auto Responses'!$J$5,$O238*$L238)</f>
        <v>N/A</v>
      </c>
      <c r="Q238" s="284">
        <f t="shared" si="22"/>
        <v>0</v>
      </c>
      <c r="R238" s="284">
        <f t="shared" si="26"/>
        <v>0</v>
      </c>
      <c r="S238" s="284">
        <f t="shared" si="23"/>
        <v>0</v>
      </c>
      <c r="T238" s="284">
        <f t="shared" si="24"/>
        <v>0</v>
      </c>
      <c r="U238" s="284">
        <f t="shared" si="27"/>
        <v>62</v>
      </c>
      <c r="V238" s="284">
        <f t="shared" si="25"/>
        <v>0</v>
      </c>
    </row>
    <row r="239" spans="1:22" ht="55.5" customHeight="1" x14ac:dyDescent="0.2">
      <c r="A239" s="315" t="str">
        <f>Questions!$A239</f>
        <v>PRGN-02</v>
      </c>
      <c r="B239" s="315" t="str">
        <f t="shared" si="21"/>
        <v>PRGN</v>
      </c>
      <c r="C239" s="315" t="str">
        <f>VLOOKUP($A239,Questions!$A$3:$L$333,2,0)&amp;""</f>
        <v>Does your solution process GDPR-related or PIPL-related data?</v>
      </c>
      <c r="D239" s="315" t="str">
        <f>VLOOKUP($A239,Questions!$A$3:$L$333,11,0)&amp;""</f>
        <v>NA</v>
      </c>
      <c r="E239" s="315" t="str">
        <f>VLOOKUP($A239,Questions!$A$3:$L$333,12,0)&amp;""</f>
        <v>Not scored</v>
      </c>
      <c r="F239" s="315" t="str">
        <f>VLOOKUP($A239,'Privacy Analyst Evaluation'!$A$46:$K$120,3,0)&amp;""</f>
        <v>Yes</v>
      </c>
      <c r="G239" s="315" t="str">
        <f>VLOOKUP($A239,'Privacy Analyst Evaluation'!$A$46:$K$120,7,0)&amp;""</f>
        <v>Not scored</v>
      </c>
      <c r="H239" s="315" t="str">
        <f>VLOOKUP($A239,'Privacy Analyst Evaluation'!$A$46:$K$120,8,0)&amp;""</f>
        <v/>
      </c>
      <c r="I239" s="315" t="str">
        <f>VLOOKUP($A239,'Privacy Analyst Evaluation'!$A$46:$K$120,9,0)&amp;""</f>
        <v/>
      </c>
      <c r="J239" s="315" t="str">
        <f>VLOOKUP($A239,'Privacy Analyst Evaluation'!$A$46:$K$120,10,0)&amp;""</f>
        <v/>
      </c>
      <c r="K239" s="315">
        <f>IF($I239='Auto Responses'!$J$11,20,IF($I239='Auto Responses'!$J$13,5,10))</f>
        <v>10</v>
      </c>
      <c r="L239" s="284" t="str">
        <f>IF($E239='Auto Responses'!$L$13, 'Auto Responses'!$J$5,IF(AND($D239='Auto Responses'!$J$27,$H239=""),'Auto Responses'!$J$5,IF(AND($D239='Auto Responses'!$J$27,$H239='Auto Responses'!$J$7),1,IF(AND($D239='Auto Responses'!$J$27,$H239='Auto Responses'!$J$8),0,IF(OR(AND($F239=$G239,$H239=""),$H239='Auto Responses'!$J$7),1,0)))))</f>
        <v>N/A</v>
      </c>
      <c r="M239" s="315" t="str">
        <f>VLOOKUP($A239,'Privacy Analyst Evaluation'!$A$46:$K$120,11,0)&amp;""</f>
        <v>FALSCH</v>
      </c>
      <c r="N239" s="315">
        <f>IF($J239='Auto Responses'!$J$11,1,IF(AND($J239="",$I239='Auto Responses'!$J$11),1,0))</f>
        <v>0</v>
      </c>
      <c r="O239" s="284" t="str">
        <f>IF(OR($E239='Auto Responses'!$L$13,$F$24='Auto Responses'!$J$4,$F239='Auto Responses'!$J$5),'Auto Responses'!$J$5,IF($J239="",$K239,IF($J239='Auto Responses'!$J$13,5,IF($J239='Auto Responses'!$J$12,10,IF($J239='Auto Responses'!$J$11,20,0)))))</f>
        <v>N/A</v>
      </c>
      <c r="P239" s="284" t="str">
        <f>IF(OR($O239='Auto Responses'!$J$5,$L239='Auto Responses'!$J$5),'Auto Responses'!$J$5,$O239*$L239)</f>
        <v>N/A</v>
      </c>
      <c r="Q239" s="284">
        <f t="shared" si="22"/>
        <v>0</v>
      </c>
      <c r="R239" s="284">
        <f t="shared" si="26"/>
        <v>0</v>
      </c>
      <c r="S239" s="284">
        <f t="shared" si="23"/>
        <v>0</v>
      </c>
      <c r="T239" s="284">
        <f t="shared" si="24"/>
        <v>0</v>
      </c>
      <c r="U239" s="284">
        <f t="shared" si="27"/>
        <v>62</v>
      </c>
      <c r="V239" s="284">
        <f t="shared" si="25"/>
        <v>0</v>
      </c>
    </row>
    <row r="240" spans="1:22" ht="55.5" customHeight="1" x14ac:dyDescent="0.2">
      <c r="A240" s="315" t="str">
        <f>Questions!$A240</f>
        <v>PRGN-03</v>
      </c>
      <c r="B240" s="315" t="str">
        <f t="shared" si="21"/>
        <v>PRGN</v>
      </c>
      <c r="C240" s="315" t="str">
        <f>VLOOKUP($A240,Questions!$A$3:$L$333,2,0)&amp;""</f>
        <v>Does your solution process personal data regulated by state law(s) (e.g., CCPA)?</v>
      </c>
      <c r="D240" s="315" t="str">
        <f>VLOOKUP($A240,Questions!$A$3:$L$333,11,0)&amp;""</f>
        <v>NA</v>
      </c>
      <c r="E240" s="315" t="str">
        <f>VLOOKUP($A240,Questions!$A$3:$L$333,12,0)&amp;""</f>
        <v>Not scored</v>
      </c>
      <c r="F240" s="315" t="str">
        <f>VLOOKUP($A240,'Privacy Analyst Evaluation'!$A$46:$K$120,3,0)&amp;""</f>
        <v>No</v>
      </c>
      <c r="G240" s="315" t="str">
        <f>VLOOKUP($A240,'Privacy Analyst Evaluation'!$A$46:$K$120,7,0)&amp;""</f>
        <v>Not scored</v>
      </c>
      <c r="H240" s="315" t="str">
        <f>VLOOKUP($A240,'Privacy Analyst Evaluation'!$A$46:$K$120,8,0)&amp;""</f>
        <v/>
      </c>
      <c r="I240" s="315" t="str">
        <f>VLOOKUP($A240,'Privacy Analyst Evaluation'!$A$46:$K$120,9,0)&amp;""</f>
        <v/>
      </c>
      <c r="J240" s="315" t="str">
        <f>VLOOKUP($A240,'Privacy Analyst Evaluation'!$A$46:$K$120,10,0)&amp;""</f>
        <v/>
      </c>
      <c r="K240" s="315">
        <f>IF($I240='Auto Responses'!$J$11,20,IF($I240='Auto Responses'!$J$13,5,10))</f>
        <v>10</v>
      </c>
      <c r="L240" s="284" t="str">
        <f>IF($E240='Auto Responses'!$L$13, 'Auto Responses'!$J$5,IF(AND($D240='Auto Responses'!$J$27,$H240=""),'Auto Responses'!$J$5,IF(AND($D240='Auto Responses'!$J$27,$H240='Auto Responses'!$J$7),1,IF(AND($D240='Auto Responses'!$J$27,$H240='Auto Responses'!$J$8),0,IF(OR(AND($F240=$G240,$H240=""),$H240='Auto Responses'!$J$7),1,0)))))</f>
        <v>N/A</v>
      </c>
      <c r="M240" s="315" t="str">
        <f>VLOOKUP($A240,'Privacy Analyst Evaluation'!$A$46:$K$120,11,0)&amp;""</f>
        <v>FALSCH</v>
      </c>
      <c r="N240" s="315">
        <f>IF($J240='Auto Responses'!$J$11,1,IF(AND($J240="",$I240='Auto Responses'!$J$11),1,0))</f>
        <v>0</v>
      </c>
      <c r="O240" s="284" t="str">
        <f>IF(OR($E240='Auto Responses'!$L$13,$F$24='Auto Responses'!$J$4,$F240='Auto Responses'!$J$5),'Auto Responses'!$J$5,IF($J240="",$K240,IF($J240='Auto Responses'!$J$13,5,IF($J240='Auto Responses'!$J$12,10,IF($J240='Auto Responses'!$J$11,20,0)))))</f>
        <v>N/A</v>
      </c>
      <c r="P240" s="284" t="str">
        <f>IF(OR($O240='Auto Responses'!$J$5,$L240='Auto Responses'!$J$5),'Auto Responses'!$J$5,$O240*$L240)</f>
        <v>N/A</v>
      </c>
      <c r="Q240" s="284">
        <f t="shared" si="22"/>
        <v>0</v>
      </c>
      <c r="R240" s="284">
        <f t="shared" si="26"/>
        <v>0</v>
      </c>
      <c r="S240" s="284">
        <f t="shared" si="23"/>
        <v>0</v>
      </c>
      <c r="T240" s="284">
        <f t="shared" si="24"/>
        <v>0</v>
      </c>
      <c r="U240" s="284">
        <f t="shared" si="27"/>
        <v>62</v>
      </c>
      <c r="V240" s="284">
        <f t="shared" si="25"/>
        <v>0</v>
      </c>
    </row>
    <row r="241" spans="1:22" ht="55.5" customHeight="1" x14ac:dyDescent="0.2">
      <c r="A241" s="315" t="str">
        <f>Questions!$A241</f>
        <v>PRGN-04</v>
      </c>
      <c r="B241" s="315" t="str">
        <f t="shared" si="21"/>
        <v>PRGN</v>
      </c>
      <c r="C241" s="315" t="str">
        <f>VLOOKUP($A241,Questions!$A$3:$L$333,2,0)&amp;""</f>
        <v>Does your solution process user-provided data that may contain regulated information?</v>
      </c>
      <c r="D241" s="315" t="str">
        <f>VLOOKUP($A241,Questions!$A$3:$L$333,11,0)&amp;""</f>
        <v>NA</v>
      </c>
      <c r="E241" s="315" t="str">
        <f>VLOOKUP($A241,Questions!$A$3:$L$333,12,0)&amp;""</f>
        <v>Not scored</v>
      </c>
      <c r="F241" s="315" t="str">
        <f>VLOOKUP($A241,'Privacy Analyst Evaluation'!$A$46:$K$120,3,0)&amp;""</f>
        <v>No</v>
      </c>
      <c r="G241" s="315" t="str">
        <f>VLOOKUP($A241,'Privacy Analyst Evaluation'!$A$46:$K$120,7,0)&amp;""</f>
        <v>Not scored</v>
      </c>
      <c r="H241" s="315" t="str">
        <f>VLOOKUP($A241,'Privacy Analyst Evaluation'!$A$46:$K$120,8,0)&amp;""</f>
        <v/>
      </c>
      <c r="I241" s="315" t="str">
        <f>VLOOKUP($A241,'Privacy Analyst Evaluation'!$A$46:$K$120,9,0)&amp;""</f>
        <v/>
      </c>
      <c r="J241" s="315" t="str">
        <f>VLOOKUP($A241,'Privacy Analyst Evaluation'!$A$46:$K$120,10,0)&amp;""</f>
        <v/>
      </c>
      <c r="K241" s="315">
        <f>IF($I241='Auto Responses'!$J$11,20,IF($I241='Auto Responses'!$J$13,5,10))</f>
        <v>10</v>
      </c>
      <c r="L241" s="284" t="str">
        <f>IF($E241='Auto Responses'!$L$13, 'Auto Responses'!$J$5,IF(AND($D241='Auto Responses'!$J$27,$H241=""),'Auto Responses'!$J$5,IF(AND($D241='Auto Responses'!$J$27,$H241='Auto Responses'!$J$7),1,IF(AND($D241='Auto Responses'!$J$27,$H241='Auto Responses'!$J$8),0,IF(OR(AND($F241=$G241,$H241=""),$H241='Auto Responses'!$J$7),1,0)))))</f>
        <v>N/A</v>
      </c>
      <c r="M241" s="315" t="str">
        <f>VLOOKUP($A241,'Privacy Analyst Evaluation'!$A$46:$K$120,11,0)&amp;""</f>
        <v>FALSCH</v>
      </c>
      <c r="N241" s="315">
        <f>IF($J241='Auto Responses'!$J$11,1,IF(AND($J241="",$I241='Auto Responses'!$J$11),1,0))</f>
        <v>0</v>
      </c>
      <c r="O241" s="284" t="str">
        <f>IF(OR($E241='Auto Responses'!$L$13,$F$24='Auto Responses'!$J$4,$F241='Auto Responses'!$J$5),'Auto Responses'!$J$5,IF($J241="",$K241,IF($J241='Auto Responses'!$J$13,5,IF($J241='Auto Responses'!$J$12,10,IF($J241='Auto Responses'!$J$11,20,0)))))</f>
        <v>N/A</v>
      </c>
      <c r="P241" s="284" t="str">
        <f>IF(OR($O241='Auto Responses'!$J$5,$L241='Auto Responses'!$J$5),'Auto Responses'!$J$5,$O241*$L241)</f>
        <v>N/A</v>
      </c>
      <c r="Q241" s="284">
        <f t="shared" si="22"/>
        <v>0</v>
      </c>
      <c r="R241" s="284">
        <f t="shared" si="26"/>
        <v>0</v>
      </c>
      <c r="S241" s="284">
        <f t="shared" si="23"/>
        <v>0</v>
      </c>
      <c r="T241" s="284">
        <f t="shared" si="24"/>
        <v>0</v>
      </c>
      <c r="U241" s="284">
        <f t="shared" si="27"/>
        <v>62</v>
      </c>
      <c r="V241" s="284">
        <f t="shared" si="25"/>
        <v>0</v>
      </c>
    </row>
    <row r="242" spans="1:22" ht="55.5" customHeight="1" x14ac:dyDescent="0.2">
      <c r="A242" s="315" t="str">
        <f>Questions!$A242</f>
        <v>PRGN-05</v>
      </c>
      <c r="B242" s="315" t="str">
        <f t="shared" si="21"/>
        <v>PRGN</v>
      </c>
      <c r="C242" s="315" t="str">
        <f>VLOOKUP($A242,Questions!$A$3:$L$333,2,0)&amp;""</f>
        <v>Web Link to Product/Service Privacy Notice</v>
      </c>
      <c r="D242" s="315" t="str">
        <f>VLOOKUP($A242,Questions!$A$3:$L$333,11,0)&amp;""</f>
        <v/>
      </c>
      <c r="E242" s="315" t="str">
        <f>VLOOKUP($A242,Questions!$A$3:$L$333,12,0)&amp;""</f>
        <v>Not scored</v>
      </c>
      <c r="F242" s="315" t="str">
        <f>VLOOKUP($A242,'Privacy Analyst Evaluation'!$A$46:$K$120,3,0)&amp;""</f>
        <v>https://smartpls.com/privacy</v>
      </c>
      <c r="G242" s="315" t="str">
        <f>VLOOKUP($A242,'Privacy Analyst Evaluation'!$A$46:$K$120,7,0)&amp;""</f>
        <v>Not scored</v>
      </c>
      <c r="H242" s="315" t="str">
        <f>VLOOKUP($A242,'Privacy Analyst Evaluation'!$A$46:$K$120,8,0)&amp;""</f>
        <v/>
      </c>
      <c r="I242" s="315" t="str">
        <f>VLOOKUP($A242,'Privacy Analyst Evaluation'!$A$46:$K$120,9,0)&amp;""</f>
        <v/>
      </c>
      <c r="J242" s="315" t="str">
        <f>VLOOKUP($A242,'Privacy Analyst Evaluation'!$A$46:$K$120,10,0)&amp;""</f>
        <v/>
      </c>
      <c r="K242" s="315">
        <f>IF($I242='Auto Responses'!$J$11,20,IF($I242='Auto Responses'!$J$13,5,10))</f>
        <v>10</v>
      </c>
      <c r="L242" s="284" t="str">
        <f>IF($E242='Auto Responses'!$L$13, 'Auto Responses'!$J$5,IF(AND($D242='Auto Responses'!$J$27,$H242=""),'Auto Responses'!$J$5,IF(AND($D242='Auto Responses'!$J$27,$H242='Auto Responses'!$J$7),1,IF(AND($D242='Auto Responses'!$J$27,$H242='Auto Responses'!$J$8),0,IF(OR(AND($F242=$G242,$H242=""),$H242='Auto Responses'!$J$7),1,0)))))</f>
        <v>N/A</v>
      </c>
      <c r="M242" s="315" t="str">
        <f>VLOOKUP($A242,'Privacy Analyst Evaluation'!$A$46:$K$120,11,0)&amp;""</f>
        <v>FALSCH</v>
      </c>
      <c r="N242" s="315">
        <f>IF($J242='Auto Responses'!$J$11,1,IF(AND($J242="",$I242='Auto Responses'!$J$11),1,0))</f>
        <v>0</v>
      </c>
      <c r="O242" s="284" t="str">
        <f>IF(OR($E242='Auto Responses'!$L$13,$F$24='Auto Responses'!$J$4,$F242='Auto Responses'!$J$5),'Auto Responses'!$J$5,IF($J242="",$K242,IF($J242='Auto Responses'!$J$13,5,IF($J242='Auto Responses'!$J$12,10,IF($J242='Auto Responses'!$J$11,20,0)))))</f>
        <v>N/A</v>
      </c>
      <c r="P242" s="284" t="str">
        <f>IF(OR($O242='Auto Responses'!$J$5,$L242='Auto Responses'!$J$5),'Auto Responses'!$J$5,$O242*$L242)</f>
        <v>N/A</v>
      </c>
      <c r="Q242" s="284">
        <f t="shared" si="22"/>
        <v>0</v>
      </c>
      <c r="R242" s="284">
        <f t="shared" si="26"/>
        <v>0</v>
      </c>
      <c r="S242" s="284">
        <f t="shared" si="23"/>
        <v>0</v>
      </c>
      <c r="T242" s="284">
        <f t="shared" si="24"/>
        <v>0</v>
      </c>
      <c r="U242" s="284">
        <f t="shared" si="27"/>
        <v>62</v>
      </c>
      <c r="V242" s="284">
        <f t="shared" si="25"/>
        <v>0</v>
      </c>
    </row>
    <row r="243" spans="1:22" ht="69.75" customHeight="1" x14ac:dyDescent="0.2">
      <c r="A243" s="315" t="str">
        <f>Questions!$A243</f>
        <v>PCOM-01</v>
      </c>
      <c r="B243" s="315" t="str">
        <f t="shared" si="21"/>
        <v>PCOM</v>
      </c>
      <c r="C243" s="315" t="str">
        <f>VLOOKUP($A243,Questions!$A$3:$L$333,2,0)&amp;""</f>
        <v>Have you had a personal data breach in the past three years that involved reporting to a governmental agency, notice to individuals (including voluntary notice), or notice to another organization or institution?*</v>
      </c>
      <c r="D243" s="315" t="str">
        <f>VLOOKUP($A243,Questions!$A$3:$L$333,11,0)&amp;""</f>
        <v/>
      </c>
      <c r="E243" s="315" t="str">
        <f>VLOOKUP($A243,Questions!$A$3:$L$333,12,0)&amp;""</f>
        <v>Privacy</v>
      </c>
      <c r="F243" s="315" t="str">
        <f>VLOOKUP($A243,'Privacy Analyst Evaluation'!$A$46:$K$120,3,0)&amp;""</f>
        <v>No</v>
      </c>
      <c r="G243" s="315" t="str">
        <f>VLOOKUP($A243,'Privacy Analyst Evaluation'!$A$46:$K$120,7,0)&amp;""</f>
        <v>No</v>
      </c>
      <c r="H243" s="315" t="str">
        <f>VLOOKUP($A243,'Privacy Analyst Evaluation'!$A$46:$K$120,8,0)&amp;""</f>
        <v/>
      </c>
      <c r="I243" s="315" t="str">
        <f>VLOOKUP($A243,'Privacy Analyst Evaluation'!$A$46:$K$120,9,0)&amp;""</f>
        <v>Critical Importance</v>
      </c>
      <c r="J243" s="315" t="str">
        <f>VLOOKUP($A243,'Privacy Analyst Evaluation'!$A$46:$K$120,10,0)&amp;""</f>
        <v/>
      </c>
      <c r="K243" s="315">
        <f>IF($I243='Auto Responses'!$J$11,20,IF($I243='Auto Responses'!$J$13,5,10))</f>
        <v>20</v>
      </c>
      <c r="L243" s="284">
        <f>IF($E243='Auto Responses'!$L$13, 'Auto Responses'!$J$5,IF(AND($D243='Auto Responses'!$J$27,$H243=""),'Auto Responses'!$J$5,IF(AND($D243='Auto Responses'!$J$27,$H243='Auto Responses'!$J$7),1,IF(AND($D243='Auto Responses'!$J$27,$H243='Auto Responses'!$J$8),0,IF(OR(AND($F243=$G243,$H243=""),$H243='Auto Responses'!$J$7),1,0)))))</f>
        <v>1</v>
      </c>
      <c r="M243" s="315" t="str">
        <f>VLOOKUP($A243,'Privacy Analyst Evaluation'!$A$46:$K$120,11,0)&amp;""</f>
        <v>FALSCH</v>
      </c>
      <c r="N243" s="315">
        <f>IF($J243='Auto Responses'!$J$11,1,IF(AND($J243="",$I243='Auto Responses'!$J$11),1,0))</f>
        <v>1</v>
      </c>
      <c r="O243" s="284">
        <f>IF(OR($E243='Auto Responses'!$L$13,$F$24='Auto Responses'!$J$4,$F243='Auto Responses'!$J$5),'Auto Responses'!$J$5,IF($J243="",$K243,IF($J243='Auto Responses'!$J$13,5,IF($J243='Auto Responses'!$J$12,10,IF($J243='Auto Responses'!$J$11,20,0)))))</f>
        <v>20</v>
      </c>
      <c r="P243" s="284">
        <f>IF(OR($O243='Auto Responses'!$J$5,$L243='Auto Responses'!$J$5),'Auto Responses'!$J$5,$O243*$L243)</f>
        <v>20</v>
      </c>
      <c r="Q243" s="284">
        <f t="shared" si="22"/>
        <v>0</v>
      </c>
      <c r="R243" s="284">
        <f t="shared" si="26"/>
        <v>0</v>
      </c>
      <c r="S243" s="284">
        <f t="shared" si="23"/>
        <v>0</v>
      </c>
      <c r="T243" s="284">
        <f t="shared" si="24"/>
        <v>1</v>
      </c>
      <c r="U243" s="284">
        <f t="shared" si="27"/>
        <v>63</v>
      </c>
      <c r="V243" s="284">
        <f t="shared" si="25"/>
        <v>63</v>
      </c>
    </row>
    <row r="244" spans="1:22" ht="55.5" customHeight="1" x14ac:dyDescent="0.2">
      <c r="A244" s="315" t="str">
        <f>Questions!$A244</f>
        <v>PCOM-02</v>
      </c>
      <c r="B244" s="315" t="str">
        <f t="shared" si="21"/>
        <v>PCOM</v>
      </c>
      <c r="C244" s="315" t="str">
        <f>VLOOKUP($A244,Questions!$A$3:$L$333,2,0)&amp;""</f>
        <v>Use this area to share information about your privacy practices that will assist those who are assessing your company data privacy program.*</v>
      </c>
      <c r="D244" s="315" t="str">
        <f>VLOOKUP($A244,Questions!$A$3:$L$333,11,0)&amp;""</f>
        <v/>
      </c>
      <c r="E244" s="315" t="str">
        <f>VLOOKUP($A244,Questions!$A$3:$L$333,12,0)&amp;""</f>
        <v>Not scored</v>
      </c>
      <c r="F244" s="315" t="str">
        <f>VLOOKUP($A244,'Privacy Analyst Evaluation'!$A$46:$K$120,3,0)&amp;""</f>
        <v>SmartPLS GmbH collects the minimum personal data necessary to administer software licenses (name, email address, institution) and, optionally, anonymized usage/crash telemetry. No institutional research data is ever transmitted to or processed by SmartPLS, since SmartPLS Desktop runs entirely on the customer’s own device. All license and telemetry data is held on EU-based servers, and payment data is handled exclusively by our PCI DSS-compliant payment provider, Adyen.</v>
      </c>
      <c r="G244" s="315" t="str">
        <f>VLOOKUP($A244,'Privacy Analyst Evaluation'!$A$46:$K$120,7,0)&amp;""</f>
        <v>Not scored</v>
      </c>
      <c r="H244" s="315" t="str">
        <f>VLOOKUP($A244,'Privacy Analyst Evaluation'!$A$46:$K$120,8,0)&amp;""</f>
        <v/>
      </c>
      <c r="I244" s="315" t="str">
        <f>VLOOKUP($A244,'Privacy Analyst Evaluation'!$A$46:$K$120,9,0)&amp;""</f>
        <v/>
      </c>
      <c r="J244" s="315" t="str">
        <f>VLOOKUP($A244,'Privacy Analyst Evaluation'!$A$46:$K$120,10,0)&amp;""</f>
        <v/>
      </c>
      <c r="K244" s="315">
        <f>IF($I244='Auto Responses'!$J$11,20,IF($I244='Auto Responses'!$J$13,5,10))</f>
        <v>10</v>
      </c>
      <c r="L244" s="284" t="str">
        <f>IF($E244='Auto Responses'!$L$13, 'Auto Responses'!$J$5,IF(AND($D244='Auto Responses'!$J$27,$H244=""),'Auto Responses'!$J$5,IF(AND($D244='Auto Responses'!$J$27,$H244='Auto Responses'!$J$7),1,IF(AND($D244='Auto Responses'!$J$27,$H244='Auto Responses'!$J$8),0,IF(OR(AND($F244=$G244,$H244=""),$H244='Auto Responses'!$J$7),1,0)))))</f>
        <v>N/A</v>
      </c>
      <c r="M244" s="315" t="str">
        <f>VLOOKUP($A244,'Privacy Analyst Evaluation'!$A$46:$K$120,11,0)&amp;""</f>
        <v>FALSCH</v>
      </c>
      <c r="N244" s="315">
        <f>IF($J244='Auto Responses'!$J$11,1,IF(AND($J244="",$I244='Auto Responses'!$J$11),1,0))</f>
        <v>0</v>
      </c>
      <c r="O244" s="284" t="str">
        <f>IF(OR($E244='Auto Responses'!$L$13,$F$24='Auto Responses'!$J$4,$F244='Auto Responses'!$J$5),'Auto Responses'!$J$5,IF($J244="",$K244,IF($J244='Auto Responses'!$J$13,5,IF($J244='Auto Responses'!$J$12,10,IF($J244='Auto Responses'!$J$11,20,0)))))</f>
        <v>N/A</v>
      </c>
      <c r="P244" s="284" t="str">
        <f>IF(OR($O244='Auto Responses'!$J$5,$L244='Auto Responses'!$J$5),'Auto Responses'!$J$5,$O244*$L244)</f>
        <v>N/A</v>
      </c>
      <c r="Q244" s="284">
        <f t="shared" si="22"/>
        <v>0</v>
      </c>
      <c r="R244" s="284">
        <f t="shared" si="26"/>
        <v>0</v>
      </c>
      <c r="S244" s="284">
        <f t="shared" si="23"/>
        <v>0</v>
      </c>
      <c r="T244" s="284">
        <f t="shared" si="24"/>
        <v>0</v>
      </c>
      <c r="U244" s="284">
        <f t="shared" si="27"/>
        <v>63</v>
      </c>
      <c r="V244" s="284">
        <f t="shared" si="25"/>
        <v>0</v>
      </c>
    </row>
    <row r="245" spans="1:22" ht="55.5" customHeight="1" x14ac:dyDescent="0.2">
      <c r="A245" s="315" t="str">
        <f>Questions!$A245</f>
        <v>PCOM-03</v>
      </c>
      <c r="B245" s="315" t="str">
        <f t="shared" si="21"/>
        <v>PCOM</v>
      </c>
      <c r="C245" s="315" t="str">
        <f>VLOOKUP($A245,Questions!$A$3:$L$333,2,0)&amp;""</f>
        <v>Have you had any violations of your internal privacy policies or violations of applicable privacy law in the past 36 months?</v>
      </c>
      <c r="D245" s="315" t="str">
        <f>VLOOKUP($A245,Questions!$A$3:$L$333,11,0)&amp;""</f>
        <v/>
      </c>
      <c r="E245" s="315" t="str">
        <f>VLOOKUP($A245,Questions!$A$3:$L$333,12,0)&amp;""</f>
        <v>Privacy</v>
      </c>
      <c r="F245" s="315" t="str">
        <f>VLOOKUP($A245,'Privacy Analyst Evaluation'!$A$46:$K$120,3,0)&amp;""</f>
        <v>No</v>
      </c>
      <c r="G245" s="315" t="str">
        <f>VLOOKUP($A245,'Privacy Analyst Evaluation'!$A$46:$K$120,7,0)&amp;""</f>
        <v>No</v>
      </c>
      <c r="H245" s="315" t="str">
        <f>VLOOKUP($A245,'Privacy Analyst Evaluation'!$A$46:$K$120,8,0)&amp;""</f>
        <v/>
      </c>
      <c r="I245" s="315" t="str">
        <f>VLOOKUP($A245,'Privacy Analyst Evaluation'!$A$46:$K$120,9,0)&amp;""</f>
        <v>Minor Importance</v>
      </c>
      <c r="J245" s="315" t="str">
        <f>VLOOKUP($A245,'Privacy Analyst Evaluation'!$A$46:$K$120,10,0)&amp;""</f>
        <v/>
      </c>
      <c r="K245" s="315">
        <f>IF($I245='Auto Responses'!$J$11,20,IF($I245='Auto Responses'!$J$13,5,10))</f>
        <v>5</v>
      </c>
      <c r="L245" s="284">
        <f>IF($E245='Auto Responses'!$L$13, 'Auto Responses'!$J$5,IF(AND($D245='Auto Responses'!$J$27,$H245=""),'Auto Responses'!$J$5,IF(AND($D245='Auto Responses'!$J$27,$H245='Auto Responses'!$J$7),1,IF(AND($D245='Auto Responses'!$J$27,$H245='Auto Responses'!$J$8),0,IF(OR(AND($F245=$G245,$H245=""),$H245='Auto Responses'!$J$7),1,0)))))</f>
        <v>1</v>
      </c>
      <c r="M245" s="315" t="str">
        <f>VLOOKUP($A245,'Privacy Analyst Evaluation'!$A$46:$K$120,11,0)&amp;""</f>
        <v>FALSCH</v>
      </c>
      <c r="N245" s="315">
        <f>IF($J245='Auto Responses'!$J$11,1,IF(AND($J245="",$I245='Auto Responses'!$J$11),1,0))</f>
        <v>0</v>
      </c>
      <c r="O245" s="284">
        <f>IF(OR($E245='Auto Responses'!$L$13,$F$24='Auto Responses'!$J$4,$F245='Auto Responses'!$J$5),'Auto Responses'!$J$5,IF($J245="",$K245,IF($J245='Auto Responses'!$J$13,5,IF($J245='Auto Responses'!$J$12,10,IF($J245='Auto Responses'!$J$11,20,0)))))</f>
        <v>5</v>
      </c>
      <c r="P245" s="284">
        <f>IF(OR($O245='Auto Responses'!$J$5,$L245='Auto Responses'!$J$5),'Auto Responses'!$J$5,$O245*$L245)</f>
        <v>5</v>
      </c>
      <c r="Q245" s="284">
        <f t="shared" si="22"/>
        <v>0</v>
      </c>
      <c r="R245" s="284">
        <f t="shared" si="26"/>
        <v>0</v>
      </c>
      <c r="S245" s="284">
        <f t="shared" si="23"/>
        <v>0</v>
      </c>
      <c r="T245" s="284">
        <f t="shared" si="24"/>
        <v>0</v>
      </c>
      <c r="U245" s="284">
        <f t="shared" si="27"/>
        <v>63</v>
      </c>
      <c r="V245" s="284">
        <f t="shared" si="25"/>
        <v>0</v>
      </c>
    </row>
    <row r="246" spans="1:22" ht="55.5" customHeight="1" x14ac:dyDescent="0.2">
      <c r="A246" s="315" t="str">
        <f>Questions!$A246</f>
        <v>PCOM-04</v>
      </c>
      <c r="B246" s="315" t="str">
        <f t="shared" si="21"/>
        <v>PCOM</v>
      </c>
      <c r="C246" s="315" t="str">
        <f>VLOOKUP($A246,Questions!$A$3:$L$333,2,0)&amp;""</f>
        <v>Do you have a dedicated data privacy staff or office?</v>
      </c>
      <c r="D246" s="315" t="str">
        <f>VLOOKUP($A246,Questions!$A$3:$L$333,11,0)&amp;""</f>
        <v/>
      </c>
      <c r="E246" s="315" t="str">
        <f>VLOOKUP($A246,Questions!$A$3:$L$333,12,0)&amp;""</f>
        <v>Privacy</v>
      </c>
      <c r="F246" s="315" t="str">
        <f>VLOOKUP($A246,'Privacy Analyst Evaluation'!$A$46:$K$120,3,0)&amp;""</f>
        <v>No</v>
      </c>
      <c r="G246" s="315" t="str">
        <f>VLOOKUP($A246,'Privacy Analyst Evaluation'!$A$46:$K$120,7,0)&amp;""</f>
        <v>Yes</v>
      </c>
      <c r="H246" s="315" t="str">
        <f>VLOOKUP($A246,'Privacy Analyst Evaluation'!$A$46:$K$120,8,0)&amp;""</f>
        <v/>
      </c>
      <c r="I246" s="315" t="str">
        <f>VLOOKUP($A246,'Privacy Analyst Evaluation'!$A$46:$K$120,9,0)&amp;""</f>
        <v>Minor Importance</v>
      </c>
      <c r="J246" s="315" t="str">
        <f>VLOOKUP($A246,'Privacy Analyst Evaluation'!$A$46:$K$120,10,0)&amp;""</f>
        <v/>
      </c>
      <c r="K246" s="315">
        <f>IF($I246='Auto Responses'!$J$11,20,IF($I246='Auto Responses'!$J$13,5,10))</f>
        <v>5</v>
      </c>
      <c r="L246" s="284">
        <f>IF($E246='Auto Responses'!$L$13, 'Auto Responses'!$J$5,IF(AND($D246='Auto Responses'!$J$27,$H246=""),'Auto Responses'!$J$5,IF(AND($D246='Auto Responses'!$J$27,$H246='Auto Responses'!$J$7),1,IF(AND($D246='Auto Responses'!$J$27,$H246='Auto Responses'!$J$8),0,IF(OR(AND($F246=$G246,$H246=""),$H246='Auto Responses'!$J$7),1,0)))))</f>
        <v>0</v>
      </c>
      <c r="M246" s="315" t="str">
        <f>VLOOKUP($A246,'Privacy Analyst Evaluation'!$A$46:$K$120,11,0)&amp;""</f>
        <v>FALSCH</v>
      </c>
      <c r="N246" s="315">
        <f>IF($J246='Auto Responses'!$J$11,1,IF(AND($J246="",$I246='Auto Responses'!$J$11),1,0))</f>
        <v>0</v>
      </c>
      <c r="O246" s="284">
        <f>IF(OR($E246='Auto Responses'!$L$13,$F$24='Auto Responses'!$J$4,$F246='Auto Responses'!$J$5),'Auto Responses'!$J$5,IF($J246="",$K246,IF($J246='Auto Responses'!$J$13,5,IF($J246='Auto Responses'!$J$12,10,IF($J246='Auto Responses'!$J$11,20,0)))))</f>
        <v>5</v>
      </c>
      <c r="P246" s="284">
        <f>IF(OR($O246='Auto Responses'!$J$5,$L246='Auto Responses'!$J$5),'Auto Responses'!$J$5,$O246*$L246)</f>
        <v>0</v>
      </c>
      <c r="Q246" s="284">
        <f t="shared" si="22"/>
        <v>0</v>
      </c>
      <c r="R246" s="284">
        <f t="shared" si="26"/>
        <v>0</v>
      </c>
      <c r="S246" s="284">
        <f t="shared" si="23"/>
        <v>0</v>
      </c>
      <c r="T246" s="284">
        <f t="shared" si="24"/>
        <v>0</v>
      </c>
      <c r="U246" s="284">
        <f t="shared" si="27"/>
        <v>63</v>
      </c>
      <c r="V246" s="284">
        <f t="shared" si="25"/>
        <v>0</v>
      </c>
    </row>
    <row r="247" spans="1:22" ht="55.5" customHeight="1" x14ac:dyDescent="0.2">
      <c r="A247" s="315" t="str">
        <f>Questions!$A247</f>
        <v>PDOC-01</v>
      </c>
      <c r="B247" s="315" t="str">
        <f t="shared" si="21"/>
        <v>PDOC</v>
      </c>
      <c r="C247" s="315" t="str">
        <f>VLOOKUP($A247,Questions!$A$3:$L$333,2,0)&amp;""</f>
        <v>If you have completed a SOC 2 audit, does it include the Privacy Trust Service Principle?</v>
      </c>
      <c r="D247" s="315" t="str">
        <f>VLOOKUP($A247,Questions!$A$3:$L$333,11,0)&amp;""</f>
        <v/>
      </c>
      <c r="E247" s="315" t="str">
        <f>VLOOKUP($A247,Questions!$A$3:$L$333,12,0)&amp;""</f>
        <v>Not scored</v>
      </c>
      <c r="F247" s="315" t="str">
        <f>VLOOKUP($A247,'Privacy Analyst Evaluation'!$A$46:$K$120,3,0)&amp;""</f>
        <v>N/A</v>
      </c>
      <c r="G247" s="315" t="str">
        <f>VLOOKUP($A247,'Privacy Analyst Evaluation'!$A$46:$K$120,7,0)&amp;""</f>
        <v>Not scored</v>
      </c>
      <c r="H247" s="315" t="str">
        <f>VLOOKUP($A247,'Privacy Analyst Evaluation'!$A$46:$K$120,8,0)&amp;""</f>
        <v/>
      </c>
      <c r="I247" s="315" t="str">
        <f>VLOOKUP($A247,'Privacy Analyst Evaluation'!$A$46:$K$120,9,0)&amp;""</f>
        <v/>
      </c>
      <c r="J247" s="315" t="str">
        <f>VLOOKUP($A247,'Privacy Analyst Evaluation'!$A$46:$K$120,10,0)&amp;""</f>
        <v/>
      </c>
      <c r="K247" s="315">
        <f>IF($I247='Auto Responses'!$J$11,20,IF($I247='Auto Responses'!$J$13,5,10))</f>
        <v>10</v>
      </c>
      <c r="L247" s="284" t="str">
        <f>IF($E247='Auto Responses'!$L$13, 'Auto Responses'!$J$5,IF(AND($D247='Auto Responses'!$J$27,$H247=""),'Auto Responses'!$J$5,IF(AND($D247='Auto Responses'!$J$27,$H247='Auto Responses'!$J$7),1,IF(AND($D247='Auto Responses'!$J$27,$H247='Auto Responses'!$J$8),0,IF(OR(AND($F247=$G247,$H247=""),$H247='Auto Responses'!$J$7),1,0)))))</f>
        <v>N/A</v>
      </c>
      <c r="M247" s="315" t="str">
        <f>VLOOKUP($A247,'Privacy Analyst Evaluation'!$A$46:$K$120,11,0)&amp;""</f>
        <v>FALSCH</v>
      </c>
      <c r="N247" s="315">
        <f>IF($J247='Auto Responses'!$J$11,1,IF(AND($J247="",$I247='Auto Responses'!$J$11),1,0))</f>
        <v>0</v>
      </c>
      <c r="O247" s="284" t="str">
        <f>IF(OR($E247='Auto Responses'!$L$13,$F247='Auto Responses'!$J$5,$F$24='Auto Responses'!$J$4),'Auto Responses'!$J$5,IF($J247="",$K247,IF($J247='Auto Responses'!$J$13,5,IF($J247='Auto Responses'!$J$12,10,IF($J247='Auto Responses'!$J$11,20,0)))))</f>
        <v>N/A</v>
      </c>
      <c r="P247" s="284" t="str">
        <f>IF(OR($O247='Auto Responses'!$J$5,$L247='Auto Responses'!$J$5),'Auto Responses'!$J$5,$O247*$L247)</f>
        <v>N/A</v>
      </c>
      <c r="Q247" s="284">
        <f t="shared" si="22"/>
        <v>0</v>
      </c>
      <c r="R247" s="284">
        <f t="shared" si="26"/>
        <v>0</v>
      </c>
      <c r="S247" s="284">
        <f t="shared" si="23"/>
        <v>0</v>
      </c>
      <c r="T247" s="284">
        <f t="shared" si="24"/>
        <v>0</v>
      </c>
      <c r="U247" s="284">
        <f t="shared" si="27"/>
        <v>63</v>
      </c>
      <c r="V247" s="284">
        <f t="shared" si="25"/>
        <v>0</v>
      </c>
    </row>
    <row r="248" spans="1:22" ht="55.5" customHeight="1" x14ac:dyDescent="0.2">
      <c r="A248" s="315" t="str">
        <f>Questions!$A248</f>
        <v>PDOC-02</v>
      </c>
      <c r="B248" s="315" t="str">
        <f t="shared" si="21"/>
        <v>PDOC</v>
      </c>
      <c r="C248" s="315" t="str">
        <f>VLOOKUP($A248,Questions!$A$3:$L$333,2,0)&amp;""</f>
        <v>Do you conform with a specific industry-standard privacy framework (e.g., NIST Privacy Framework, GDPR, ISO 27701)?</v>
      </c>
      <c r="D248" s="315" t="str">
        <f>VLOOKUP($A248,Questions!$A$3:$L$333,11,0)&amp;""</f>
        <v/>
      </c>
      <c r="E248" s="315" t="str">
        <f>VLOOKUP($A248,Questions!$A$3:$L$333,12,0)&amp;""</f>
        <v>Not scored</v>
      </c>
      <c r="F248" s="315" t="str">
        <f>VLOOKUP($A248,'Privacy Analyst Evaluation'!$A$46:$K$120,3,0)&amp;""</f>
        <v>Yes</v>
      </c>
      <c r="G248" s="315" t="str">
        <f>VLOOKUP($A248,'Privacy Analyst Evaluation'!$A$46:$K$120,7,0)&amp;""</f>
        <v>Not scored</v>
      </c>
      <c r="H248" s="315" t="str">
        <f>VLOOKUP($A248,'Privacy Analyst Evaluation'!$A$46:$K$120,8,0)&amp;""</f>
        <v/>
      </c>
      <c r="I248" s="315" t="str">
        <f>VLOOKUP($A248,'Privacy Analyst Evaluation'!$A$46:$K$120,9,0)&amp;""</f>
        <v/>
      </c>
      <c r="J248" s="315" t="str">
        <f>VLOOKUP($A248,'Privacy Analyst Evaluation'!$A$46:$K$120,10,0)&amp;""</f>
        <v/>
      </c>
      <c r="K248" s="315">
        <f>IF($I248='Auto Responses'!$J$11,20,IF($I248='Auto Responses'!$J$13,5,10))</f>
        <v>10</v>
      </c>
      <c r="L248" s="284" t="str">
        <f>IF($E248='Auto Responses'!$L$13, 'Auto Responses'!$J$5,IF(AND($D248='Auto Responses'!$J$27,$H248=""),'Auto Responses'!$J$5,IF(AND($D248='Auto Responses'!$J$27,$H248='Auto Responses'!$J$7),1,IF(AND($D248='Auto Responses'!$J$27,$H248='Auto Responses'!$J$8),0,IF(OR(AND($F248=$G248,$H248=""),$H248='Auto Responses'!$J$7),1,0)))))</f>
        <v>N/A</v>
      </c>
      <c r="M248" s="315" t="str">
        <f>VLOOKUP($A248,'Privacy Analyst Evaluation'!$A$46:$K$120,11,0)&amp;""</f>
        <v>FALSCH</v>
      </c>
      <c r="N248" s="315">
        <f>IF($J248='Auto Responses'!$J$11,1,IF(AND($J248="",$I248='Auto Responses'!$J$11),1,0))</f>
        <v>0</v>
      </c>
      <c r="O248" s="284" t="str">
        <f>IF(OR($E248='Auto Responses'!$L$13,$F248='Auto Responses'!$J$5,$F$24='Auto Responses'!$J$4),'Auto Responses'!$J$5,IF($J248="",$K248,IF($J248='Auto Responses'!$J$13,5,IF($J248='Auto Responses'!$J$12,10,IF($J248='Auto Responses'!$J$11,20,0)))))</f>
        <v>N/A</v>
      </c>
      <c r="P248" s="284" t="str">
        <f>IF(OR($O248='Auto Responses'!$J$5,$L248='Auto Responses'!$J$5),'Auto Responses'!$J$5,$O248*$L248)</f>
        <v>N/A</v>
      </c>
      <c r="Q248" s="284">
        <f t="shared" si="22"/>
        <v>0</v>
      </c>
      <c r="R248" s="284">
        <f t="shared" si="26"/>
        <v>0</v>
      </c>
      <c r="S248" s="284">
        <f t="shared" si="23"/>
        <v>0</v>
      </c>
      <c r="T248" s="284">
        <f t="shared" si="24"/>
        <v>0</v>
      </c>
      <c r="U248" s="284">
        <f t="shared" si="27"/>
        <v>63</v>
      </c>
      <c r="V248" s="284">
        <f t="shared" si="25"/>
        <v>0</v>
      </c>
    </row>
    <row r="249" spans="1:22" ht="55.5" customHeight="1" x14ac:dyDescent="0.2">
      <c r="A249" s="315" t="str">
        <f>Questions!$A249</f>
        <v>PDOC-03</v>
      </c>
      <c r="B249" s="315" t="str">
        <f t="shared" si="21"/>
        <v>PDOC</v>
      </c>
      <c r="C249" s="315" t="str">
        <f>VLOOKUP($A249,Questions!$A$3:$L$333,2,0)&amp;""</f>
        <v>Does your employee onboarding and offboarding policy include training of employees on information security and data privacy?</v>
      </c>
      <c r="D249" s="315" t="str">
        <f>VLOOKUP($A249,Questions!$A$3:$L$333,11,0)&amp;""</f>
        <v/>
      </c>
      <c r="E249" s="315" t="str">
        <f>VLOOKUP($A249,Questions!$A$3:$L$333,12,0)&amp;""</f>
        <v>Privacy</v>
      </c>
      <c r="F249" s="315" t="str">
        <f>VLOOKUP($A249,'Privacy Analyst Evaluation'!$A$46:$K$120,3,0)&amp;""</f>
        <v>No</v>
      </c>
      <c r="G249" s="315" t="str">
        <f>VLOOKUP($A249,'Privacy Analyst Evaluation'!$A$46:$K$120,7,0)&amp;""</f>
        <v>Yes</v>
      </c>
      <c r="H249" s="315" t="str">
        <f>VLOOKUP($A249,'Privacy Analyst Evaluation'!$A$46:$K$120,8,0)&amp;""</f>
        <v/>
      </c>
      <c r="I249" s="315" t="str">
        <f>VLOOKUP($A249,'Privacy Analyst Evaluation'!$A$46:$K$120,9,0)&amp;""</f>
        <v>Standard Importance</v>
      </c>
      <c r="J249" s="315" t="str">
        <f>VLOOKUP($A249,'Privacy Analyst Evaluation'!$A$46:$K$120,10,0)&amp;""</f>
        <v/>
      </c>
      <c r="K249" s="315">
        <f>IF($I249='Auto Responses'!$J$11,20,IF($I249='Auto Responses'!$J$13,5,10))</f>
        <v>10</v>
      </c>
      <c r="L249" s="284">
        <f>IF($E249='Auto Responses'!$L$13, 'Auto Responses'!$J$5,IF(AND($D249='Auto Responses'!$J$27,$H249=""),'Auto Responses'!$J$5,IF(AND($D249='Auto Responses'!$J$27,$H249='Auto Responses'!$J$7),1,IF(AND($D249='Auto Responses'!$J$27,$H249='Auto Responses'!$J$8),0,IF(OR(AND($F249=$G249,$H249=""),$H249='Auto Responses'!$J$7),1,0)))))</f>
        <v>0</v>
      </c>
      <c r="M249" s="315" t="str">
        <f>VLOOKUP($A249,'Privacy Analyst Evaluation'!$A$46:$K$120,11,0)&amp;""</f>
        <v>FALSCH</v>
      </c>
      <c r="N249" s="315">
        <f>IF($J249='Auto Responses'!$J$11,1,IF(AND($J249="",$I249='Auto Responses'!$J$11),1,0))</f>
        <v>0</v>
      </c>
      <c r="O249" s="284">
        <f>IF(OR($E249='Auto Responses'!$L$13,$F249='Auto Responses'!$J$5,$F$24='Auto Responses'!$J$4),'Auto Responses'!$J$5,IF($J249="",$K249,IF($J249='Auto Responses'!$J$13,5,IF($J249='Auto Responses'!$J$12,10,IF($J249='Auto Responses'!$J$11,20,0)))))</f>
        <v>10</v>
      </c>
      <c r="P249" s="284">
        <f>IF(OR($O249='Auto Responses'!$J$5,$L249='Auto Responses'!$J$5),'Auto Responses'!$J$5,$O249*$L249)</f>
        <v>0</v>
      </c>
      <c r="Q249" s="284">
        <f t="shared" si="22"/>
        <v>0</v>
      </c>
      <c r="R249" s="284">
        <f t="shared" si="26"/>
        <v>0</v>
      </c>
      <c r="S249" s="284">
        <f t="shared" si="23"/>
        <v>0</v>
      </c>
      <c r="T249" s="284">
        <f t="shared" si="24"/>
        <v>0</v>
      </c>
      <c r="U249" s="284">
        <f t="shared" si="27"/>
        <v>63</v>
      </c>
      <c r="V249" s="284">
        <f t="shared" si="25"/>
        <v>0</v>
      </c>
    </row>
    <row r="250" spans="1:22" ht="55.5" customHeight="1" x14ac:dyDescent="0.2">
      <c r="A250" s="315" t="str">
        <f>Questions!$A250</f>
        <v>PTHP-01</v>
      </c>
      <c r="B250" s="315" t="str">
        <f t="shared" si="21"/>
        <v>PTHP</v>
      </c>
      <c r="C250" s="315" t="str">
        <f>VLOOKUP($A250,Questions!$A$3:$L$333,2,0)&amp;""</f>
        <v>Do you have contractual agreements with third parties that require them to maintain standards and to comply with all regulatory requirements?*</v>
      </c>
      <c r="D250" s="315" t="str">
        <f>VLOOKUP($A250,Questions!$A$3:$L$333,11,0)&amp;""</f>
        <v/>
      </c>
      <c r="E250" s="315" t="str">
        <f>VLOOKUP($A250,Questions!$A$3:$L$333,12,0)&amp;""</f>
        <v>Privacy</v>
      </c>
      <c r="F250" s="315" t="str">
        <f>VLOOKUP($A250,'Privacy Analyst Evaluation'!$A$46:$K$120,3,0)&amp;""</f>
        <v>Yes</v>
      </c>
      <c r="G250" s="315" t="str">
        <f>VLOOKUP($A250,'Privacy Analyst Evaluation'!$A$46:$K$120,7,0)&amp;""</f>
        <v>Yes</v>
      </c>
      <c r="H250" s="315" t="str">
        <f>VLOOKUP($A250,'Privacy Analyst Evaluation'!$A$46:$K$120,8,0)&amp;""</f>
        <v/>
      </c>
      <c r="I250" s="315" t="str">
        <f>VLOOKUP($A250,'Privacy Analyst Evaluation'!$A$46:$K$120,9,0)&amp;""</f>
        <v>Critical Importance</v>
      </c>
      <c r="J250" s="315" t="str">
        <f>VLOOKUP($A250,'Privacy Analyst Evaluation'!$A$46:$K$120,10,0)&amp;""</f>
        <v/>
      </c>
      <c r="K250" s="315">
        <f>IF($I250='Auto Responses'!$J$11,20,IF($I250='Auto Responses'!$J$13,5,10))</f>
        <v>20</v>
      </c>
      <c r="L250" s="284">
        <f>IF($E250='Auto Responses'!$L$13, 'Auto Responses'!$J$5,IF(AND($D250='Auto Responses'!$J$27,$H250=""),'Auto Responses'!$J$5,IF(AND($D250='Auto Responses'!$J$27,$H250='Auto Responses'!$J$7),1,IF(AND($D250='Auto Responses'!$J$27,$H250='Auto Responses'!$J$8),0,IF(OR(AND($F250=$G250,$H250=""),$H250='Auto Responses'!$J$7),1,0)))))</f>
        <v>1</v>
      </c>
      <c r="M250" s="315" t="str">
        <f>VLOOKUP($A250,'Privacy Analyst Evaluation'!$A$46:$K$120,11,0)&amp;""</f>
        <v>FALSCH</v>
      </c>
      <c r="N250" s="315">
        <f>IF($J250='Auto Responses'!$J$11,1,IF(AND($J250="",$I250='Auto Responses'!$J$11),1,0))</f>
        <v>1</v>
      </c>
      <c r="O250" s="284">
        <f>IF(OR($E250='Auto Responses'!$L$13,$F$24='Auto Responses'!$J$4,$F250='Auto Responses'!$J$5),'Auto Responses'!$J$5,IF($J250="",$K250,IF($J250='Auto Responses'!$J$13,5,IF($J250='Auto Responses'!$J$12,10,IF($J250='Auto Responses'!$J$11,20,0)))))</f>
        <v>20</v>
      </c>
      <c r="P250" s="284">
        <f>IF(OR($O250='Auto Responses'!$J$5,$L250='Auto Responses'!$J$5),'Auto Responses'!$J$5,$O250*$L250)</f>
        <v>20</v>
      </c>
      <c r="Q250" s="284">
        <f t="shared" si="22"/>
        <v>0</v>
      </c>
      <c r="R250" s="284">
        <f t="shared" si="26"/>
        <v>0</v>
      </c>
      <c r="S250" s="284">
        <f t="shared" si="23"/>
        <v>0</v>
      </c>
      <c r="T250" s="284">
        <f t="shared" si="24"/>
        <v>1</v>
      </c>
      <c r="U250" s="284">
        <f t="shared" si="27"/>
        <v>64</v>
      </c>
      <c r="V250" s="284">
        <f t="shared" si="25"/>
        <v>64</v>
      </c>
    </row>
    <row r="251" spans="1:22" ht="69.75" customHeight="1" x14ac:dyDescent="0.2">
      <c r="A251" s="315" t="str">
        <f>Questions!$A251</f>
        <v>PTHP-02</v>
      </c>
      <c r="B251" s="315" t="str">
        <f t="shared" si="21"/>
        <v>PTHP</v>
      </c>
      <c r="C251" s="315" t="str">
        <f>VLOOKUP($A251,Questions!$A$3:$L$333,2,0)&amp;""</f>
        <v>Do you perform privacy impact assessments of third parties that collect, process, or have access to personal data to ensure they meet industry and regulatory standards and to mitigate harmful, unethical, or discriminatory impacts on data subjects?</v>
      </c>
      <c r="D251" s="315" t="str">
        <f>VLOOKUP($A251,Questions!$A$3:$L$333,11,0)&amp;""</f>
        <v/>
      </c>
      <c r="E251" s="315" t="str">
        <f>VLOOKUP($A251,Questions!$A$3:$L$333,12,0)&amp;""</f>
        <v>Privacy</v>
      </c>
      <c r="F251" s="315" t="str">
        <f>VLOOKUP($A251,'Privacy Analyst Evaluation'!$A$46:$K$120,3,0)&amp;""</f>
        <v>No</v>
      </c>
      <c r="G251" s="315" t="str">
        <f>VLOOKUP($A251,'Privacy Analyst Evaluation'!$A$46:$K$120,7,0)&amp;""</f>
        <v>Yes</v>
      </c>
      <c r="H251" s="315" t="str">
        <f>VLOOKUP($A251,'Privacy Analyst Evaluation'!$A$46:$K$120,8,0)&amp;""</f>
        <v/>
      </c>
      <c r="I251" s="315" t="str">
        <f>VLOOKUP($A251,'Privacy Analyst Evaluation'!$A$46:$K$120,9,0)&amp;""</f>
        <v>Minor Importance</v>
      </c>
      <c r="J251" s="315" t="str">
        <f>VLOOKUP($A251,'Privacy Analyst Evaluation'!$A$46:$K$120,10,0)&amp;""</f>
        <v/>
      </c>
      <c r="K251" s="315">
        <f>IF($I251='Auto Responses'!$J$11,20,IF($I251='Auto Responses'!$J$13,5,10))</f>
        <v>5</v>
      </c>
      <c r="L251" s="284">
        <f>IF($E251='Auto Responses'!$L$13, 'Auto Responses'!$J$5,IF(AND($D251='Auto Responses'!$J$27,$H251=""),'Auto Responses'!$J$5,IF(AND($D251='Auto Responses'!$J$27,$H251='Auto Responses'!$J$7),1,IF(AND($D251='Auto Responses'!$J$27,$H251='Auto Responses'!$J$8),0,IF(OR(AND($F251=$G251,$H251=""),$H251='Auto Responses'!$J$7),1,0)))))</f>
        <v>0</v>
      </c>
      <c r="M251" s="315" t="str">
        <f>VLOOKUP($A251,'Privacy Analyst Evaluation'!$A$46:$K$120,11,0)&amp;""</f>
        <v>FALSCH</v>
      </c>
      <c r="N251" s="315">
        <f>IF($J251='Auto Responses'!$J$11,1,IF(AND($J251="",$I251='Auto Responses'!$J$11),1,0))</f>
        <v>0</v>
      </c>
      <c r="O251" s="284">
        <f>IF(OR($E251='Auto Responses'!$L$13,$F$24='Auto Responses'!$J$4,$F251='Auto Responses'!$J$5),'Auto Responses'!$J$5,IF($J251="",$K251,IF($J251='Auto Responses'!$J$13,5,IF($J251='Auto Responses'!$J$12,10,IF($J251='Auto Responses'!$J$11,20,0)))))</f>
        <v>5</v>
      </c>
      <c r="P251" s="284">
        <f>IF(OR($O251='Auto Responses'!$J$5,$L251='Auto Responses'!$J$5),'Auto Responses'!$J$5,$O251*$L251)</f>
        <v>0</v>
      </c>
      <c r="Q251" s="284">
        <f t="shared" si="22"/>
        <v>0</v>
      </c>
      <c r="R251" s="284">
        <f t="shared" si="26"/>
        <v>0</v>
      </c>
      <c r="S251" s="284">
        <f t="shared" si="23"/>
        <v>0</v>
      </c>
      <c r="T251" s="284">
        <f t="shared" si="24"/>
        <v>0</v>
      </c>
      <c r="U251" s="284">
        <f t="shared" si="27"/>
        <v>64</v>
      </c>
      <c r="V251" s="284">
        <f t="shared" si="25"/>
        <v>0</v>
      </c>
    </row>
    <row r="252" spans="1:22" ht="55.5" customHeight="1" x14ac:dyDescent="0.2">
      <c r="A252" s="315" t="str">
        <f>Questions!$A252</f>
        <v>PCHG-01</v>
      </c>
      <c r="B252" s="315" t="str">
        <f t="shared" si="21"/>
        <v>PCHG</v>
      </c>
      <c r="C252" s="315" t="str">
        <f>VLOOKUP($A252,Questions!$A$3:$L$333,2,0)&amp;""</f>
        <v>Does your change management process include privacy review and approval?</v>
      </c>
      <c r="D252" s="315" t="str">
        <f>VLOOKUP($A252,Questions!$A$3:$L$333,11,0)&amp;""</f>
        <v/>
      </c>
      <c r="E252" s="315" t="str">
        <f>VLOOKUP($A252,Questions!$A$3:$L$333,12,0)&amp;""</f>
        <v>Privacy</v>
      </c>
      <c r="F252" s="315" t="str">
        <f>VLOOKUP($A252,'Privacy Analyst Evaluation'!$A$46:$K$120,3,0)&amp;""</f>
        <v>No</v>
      </c>
      <c r="G252" s="315" t="str">
        <f>VLOOKUP($A252,'Privacy Analyst Evaluation'!$A$46:$K$120,7,0)&amp;""</f>
        <v>Yes</v>
      </c>
      <c r="H252" s="315" t="str">
        <f>VLOOKUP($A252,'Privacy Analyst Evaluation'!$A$46:$K$120,8,0)&amp;""</f>
        <v/>
      </c>
      <c r="I252" s="315" t="str">
        <f>VLOOKUP($A252,'Privacy Analyst Evaluation'!$A$46:$K$120,9,0)&amp;""</f>
        <v>Standard Importance</v>
      </c>
      <c r="J252" s="315" t="str">
        <f>VLOOKUP($A252,'Privacy Analyst Evaluation'!$A$46:$K$120,10,0)&amp;""</f>
        <v/>
      </c>
      <c r="K252" s="315">
        <f>IF($I252='Auto Responses'!$J$11,20,IF($I252='Auto Responses'!$J$13,5,10))</f>
        <v>10</v>
      </c>
      <c r="L252" s="284">
        <f>IF($E252='Auto Responses'!$L$13, 'Auto Responses'!$J$5,IF(AND($D252='Auto Responses'!$J$27,$H252=""),'Auto Responses'!$J$5,IF(AND($D252='Auto Responses'!$J$27,$H252='Auto Responses'!$J$7),1,IF(AND($D252='Auto Responses'!$J$27,$H252='Auto Responses'!$J$8),0,IF(OR(AND($F252=$G252,$H252=""),$H252='Auto Responses'!$J$7),1,0)))))</f>
        <v>0</v>
      </c>
      <c r="M252" s="315" t="str">
        <f>VLOOKUP($A252,'Privacy Analyst Evaluation'!$A$46:$K$120,11,0)&amp;""</f>
        <v>FALSCH</v>
      </c>
      <c r="N252" s="315">
        <f>IF($J252='Auto Responses'!$J$11,1,IF(AND($J252="",$I252='Auto Responses'!$J$11),1,0))</f>
        <v>0</v>
      </c>
      <c r="O252" s="284">
        <f>IF(OR($E252='Auto Responses'!$L$13,$F$24='Auto Responses'!$J$4,$F252='Auto Responses'!$J$5),'Auto Responses'!$J$5,IF($J252="",$K252,IF($J252='Auto Responses'!$J$13,5,IF($J252='Auto Responses'!$J$12,10,IF($J252='Auto Responses'!$J$11,20,0)))))</f>
        <v>10</v>
      </c>
      <c r="P252" s="284">
        <f>IF(OR($O252='Auto Responses'!$J$5,$L252='Auto Responses'!$J$5),'Auto Responses'!$J$5,$O252*$L252)</f>
        <v>0</v>
      </c>
      <c r="Q252" s="284">
        <f t="shared" si="22"/>
        <v>0</v>
      </c>
      <c r="R252" s="284">
        <f t="shared" si="26"/>
        <v>0</v>
      </c>
      <c r="S252" s="284">
        <f t="shared" si="23"/>
        <v>0</v>
      </c>
      <c r="T252" s="284">
        <f t="shared" si="24"/>
        <v>0</v>
      </c>
      <c r="U252" s="284">
        <f t="shared" si="27"/>
        <v>64</v>
      </c>
      <c r="V252" s="284">
        <f t="shared" si="25"/>
        <v>0</v>
      </c>
    </row>
    <row r="253" spans="1:22" ht="55.5" customHeight="1" x14ac:dyDescent="0.2">
      <c r="A253" s="315" t="str">
        <f>Questions!$A253</f>
        <v>PCHG-02</v>
      </c>
      <c r="B253" s="315" t="str">
        <f t="shared" si="21"/>
        <v>PCHG</v>
      </c>
      <c r="C253" s="315" t="str">
        <f>VLOOKUP($A253,Questions!$A$3:$L$333,2,0)&amp;""</f>
        <v>Do you have policy and procedure, currently implemented, guiding how privacy risks are mitigated until they can be resolved?</v>
      </c>
      <c r="D253" s="315" t="str">
        <f>VLOOKUP($A253,Questions!$A$3:$L$333,11,0)&amp;""</f>
        <v/>
      </c>
      <c r="E253" s="315" t="str">
        <f>VLOOKUP($A253,Questions!$A$3:$L$333,12,0)&amp;""</f>
        <v>Privacy</v>
      </c>
      <c r="F253" s="315" t="str">
        <f>VLOOKUP($A253,'Privacy Analyst Evaluation'!$A$46:$K$120,3,0)&amp;""</f>
        <v>No</v>
      </c>
      <c r="G253" s="315" t="str">
        <f>VLOOKUP($A253,'Privacy Analyst Evaluation'!$A$46:$K$120,7,0)&amp;""</f>
        <v>Yes</v>
      </c>
      <c r="H253" s="315" t="str">
        <f>VLOOKUP($A253,'Privacy Analyst Evaluation'!$A$46:$K$120,8,0)&amp;""</f>
        <v/>
      </c>
      <c r="I253" s="315" t="str">
        <f>VLOOKUP($A253,'Privacy Analyst Evaluation'!$A$46:$K$120,9,0)&amp;""</f>
        <v>Minor Importance</v>
      </c>
      <c r="J253" s="315" t="str">
        <f>VLOOKUP($A253,'Privacy Analyst Evaluation'!$A$46:$K$120,10,0)&amp;""</f>
        <v/>
      </c>
      <c r="K253" s="315">
        <f>IF($I253='Auto Responses'!$J$11,20,IF($I253='Auto Responses'!$J$13,5,10))</f>
        <v>5</v>
      </c>
      <c r="L253" s="284">
        <f>IF($E253='Auto Responses'!$L$13, 'Auto Responses'!$J$5,IF(AND($D253='Auto Responses'!$J$27,$H253=""),'Auto Responses'!$J$5,IF(AND($D253='Auto Responses'!$J$27,$H253='Auto Responses'!$J$7),1,IF(AND($D253='Auto Responses'!$J$27,$H253='Auto Responses'!$J$8),0,IF(OR(AND($F253=$G253,$H253=""),$H253='Auto Responses'!$J$7),1,0)))))</f>
        <v>0</v>
      </c>
      <c r="M253" s="315" t="str">
        <f>VLOOKUP($A253,'Privacy Analyst Evaluation'!$A$46:$K$120,11,0)&amp;""</f>
        <v>FALSCH</v>
      </c>
      <c r="N253" s="315">
        <f>IF($J253='Auto Responses'!$J$11,1,IF(AND($J253="",$I253='Auto Responses'!$J$11),1,0))</f>
        <v>0</v>
      </c>
      <c r="O253" s="284">
        <f>IF(OR($E253='Auto Responses'!$L$13,$F$24='Auto Responses'!$J$4,$F253='Auto Responses'!$J$5),'Auto Responses'!$J$5,IF($J253="",$K253,IF($J253='Auto Responses'!$J$13,5,IF($J253='Auto Responses'!$J$12,10,IF($J253='Auto Responses'!$J$11,20,0)))))</f>
        <v>5</v>
      </c>
      <c r="P253" s="284">
        <f>IF(OR($O253='Auto Responses'!$J$5,$L253='Auto Responses'!$J$5),'Auto Responses'!$J$5,$O253*$L253)</f>
        <v>0</v>
      </c>
      <c r="Q253" s="284">
        <f t="shared" si="22"/>
        <v>0</v>
      </c>
      <c r="R253" s="284">
        <f t="shared" si="26"/>
        <v>0</v>
      </c>
      <c r="S253" s="284">
        <f t="shared" si="23"/>
        <v>0</v>
      </c>
      <c r="T253" s="284">
        <f t="shared" si="24"/>
        <v>0</v>
      </c>
      <c r="U253" s="284">
        <f t="shared" si="27"/>
        <v>64</v>
      </c>
      <c r="V253" s="284">
        <f t="shared" si="25"/>
        <v>0</v>
      </c>
    </row>
    <row r="254" spans="1:22" ht="55.5" customHeight="1" x14ac:dyDescent="0.2">
      <c r="A254" s="315" t="str">
        <f>Questions!$A254</f>
        <v>PDAT-01</v>
      </c>
      <c r="B254" s="315" t="str">
        <f t="shared" si="21"/>
        <v>PDAT</v>
      </c>
      <c r="C254" s="315" t="str">
        <f>VLOOKUP($A254,Questions!$A$3:$L$333,2,0)&amp;""</f>
        <v>Do you collect, process, or store demographic information?*</v>
      </c>
      <c r="D254" s="315" t="str">
        <f>VLOOKUP($A254,Questions!$A$3:$L$333,11,0)&amp;""</f>
        <v/>
      </c>
      <c r="E254" s="315" t="str">
        <f>VLOOKUP($A254,Questions!$A$3:$L$333,12,0)&amp;""</f>
        <v>Privacy</v>
      </c>
      <c r="F254" s="315" t="str">
        <f>VLOOKUP($A254,'Privacy Analyst Evaluation'!$A$46:$K$120,3,0)&amp;""</f>
        <v>No</v>
      </c>
      <c r="G254" s="315" t="str">
        <f>VLOOKUP($A254,'Privacy Analyst Evaluation'!$A$46:$K$120,7,0)&amp;""</f>
        <v>No</v>
      </c>
      <c r="H254" s="315" t="str">
        <f>VLOOKUP($A254,'Privacy Analyst Evaluation'!$A$46:$K$120,8,0)&amp;""</f>
        <v/>
      </c>
      <c r="I254" s="315" t="str">
        <f>VLOOKUP($A254,'Privacy Analyst Evaluation'!$A$46:$K$120,9,0)&amp;""</f>
        <v>Critical Importance</v>
      </c>
      <c r="J254" s="315" t="str">
        <f>VLOOKUP($A254,'Privacy Analyst Evaluation'!$A$46:$K$120,10,0)&amp;""</f>
        <v/>
      </c>
      <c r="K254" s="315">
        <f>IF($I254='Auto Responses'!$J$11,20,IF($I254='Auto Responses'!$J$13,5,10))</f>
        <v>20</v>
      </c>
      <c r="L254" s="284">
        <f>IF($E254='Auto Responses'!$L$13, 'Auto Responses'!$J$5,IF(AND($D254='Auto Responses'!$J$27,$H254=""),'Auto Responses'!$J$5,IF(AND($D254='Auto Responses'!$J$27,$H254='Auto Responses'!$J$7),1,IF(AND($D254='Auto Responses'!$J$27,$H254='Auto Responses'!$J$8),0,IF(OR(AND($F254=$G254,$H254=""),$H254='Auto Responses'!$J$7),1,0)))))</f>
        <v>1</v>
      </c>
      <c r="M254" s="315" t="str">
        <f>VLOOKUP($A254,'Privacy Analyst Evaluation'!$A$46:$K$120,11,0)&amp;""</f>
        <v>FALSCH</v>
      </c>
      <c r="N254" s="315">
        <f>IF($J254='Auto Responses'!$J$11,1,IF(AND($J254="",$I254='Auto Responses'!$J$11),1,0))</f>
        <v>1</v>
      </c>
      <c r="O254" s="284">
        <f>IF(OR($E254='Auto Responses'!$L$13,$F$24='Auto Responses'!$J$4,$F254='Auto Responses'!$J$5),'Auto Responses'!$J$5,IF($J254="",$K254,IF($J254='Auto Responses'!$J$13,5,IF($J254='Auto Responses'!$J$12,10,IF($J254='Auto Responses'!$J$11,20,0)))))</f>
        <v>20</v>
      </c>
      <c r="P254" s="284">
        <f>IF(OR($O254='Auto Responses'!$J$5,$L254='Auto Responses'!$J$5),'Auto Responses'!$J$5,$O254*$L254)</f>
        <v>20</v>
      </c>
      <c r="Q254" s="284">
        <f t="shared" si="22"/>
        <v>0</v>
      </c>
      <c r="R254" s="284">
        <f t="shared" si="26"/>
        <v>0</v>
      </c>
      <c r="S254" s="284">
        <f t="shared" si="23"/>
        <v>0</v>
      </c>
      <c r="T254" s="284">
        <f t="shared" si="24"/>
        <v>1</v>
      </c>
      <c r="U254" s="284">
        <f t="shared" si="27"/>
        <v>65</v>
      </c>
      <c r="V254" s="284">
        <f t="shared" si="25"/>
        <v>65</v>
      </c>
    </row>
    <row r="255" spans="1:22" ht="55.5" customHeight="1" x14ac:dyDescent="0.2">
      <c r="A255" s="315" t="str">
        <f>Questions!$A255</f>
        <v>PDAT-02</v>
      </c>
      <c r="B255" s="315" t="str">
        <f t="shared" si="21"/>
        <v>PDAT</v>
      </c>
      <c r="C255" s="315" t="str">
        <f>VLOOKUP($A255,Questions!$A$3:$L$333,2,0)&amp;""</f>
        <v>Do you capture or create genetic, biometric, or behaviometric information (e.g., facial recognition or fingerprints)?*</v>
      </c>
      <c r="D255" s="315" t="str">
        <f>VLOOKUP($A255,Questions!$A$3:$L$333,11,0)&amp;""</f>
        <v/>
      </c>
      <c r="E255" s="315" t="str">
        <f>VLOOKUP($A255,Questions!$A$3:$L$333,12,0)&amp;""</f>
        <v>Privacy</v>
      </c>
      <c r="F255" s="315" t="str">
        <f>VLOOKUP($A255,'Privacy Analyst Evaluation'!$A$46:$K$120,3,0)&amp;""</f>
        <v>No</v>
      </c>
      <c r="G255" s="315" t="str">
        <f>VLOOKUP($A255,'Privacy Analyst Evaluation'!$A$46:$K$120,7,0)&amp;""</f>
        <v>No</v>
      </c>
      <c r="H255" s="315" t="str">
        <f>VLOOKUP($A255,'Privacy Analyst Evaluation'!$A$46:$K$120,8,0)&amp;""</f>
        <v/>
      </c>
      <c r="I255" s="315" t="str">
        <f>VLOOKUP($A255,'Privacy Analyst Evaluation'!$A$46:$K$120,9,0)&amp;""</f>
        <v>Critical Importance</v>
      </c>
      <c r="J255" s="315" t="str">
        <f>VLOOKUP($A255,'Privacy Analyst Evaluation'!$A$46:$K$120,10,0)&amp;""</f>
        <v/>
      </c>
      <c r="K255" s="315">
        <f>IF($I255='Auto Responses'!$J$11,20,IF($I255='Auto Responses'!$J$13,5,10))</f>
        <v>20</v>
      </c>
      <c r="L255" s="284">
        <f>IF($E255='Auto Responses'!$L$13, 'Auto Responses'!$J$5,IF(AND($D255='Auto Responses'!$J$27,$H255=""),'Auto Responses'!$J$5,IF(AND($D255='Auto Responses'!$J$27,$H255='Auto Responses'!$J$7),1,IF(AND($D255='Auto Responses'!$J$27,$H255='Auto Responses'!$J$8),0,IF(OR(AND($F255=$G255,$H255=""),$H255='Auto Responses'!$J$7),1,0)))))</f>
        <v>1</v>
      </c>
      <c r="M255" s="315" t="str">
        <f>VLOOKUP($A255,'Privacy Analyst Evaluation'!$A$46:$K$120,11,0)&amp;""</f>
        <v>FALSCH</v>
      </c>
      <c r="N255" s="315">
        <f>IF($J255='Auto Responses'!$J$11,1,IF(AND($J255="",$I255='Auto Responses'!$J$11),1,0))</f>
        <v>1</v>
      </c>
      <c r="O255" s="284">
        <f>IF(OR($E255='Auto Responses'!$L$13,$F$24='Auto Responses'!$J$4,$F255='Auto Responses'!$J$5),'Auto Responses'!$J$5,IF($J255="",$K255,IF($J255='Auto Responses'!$J$13,5,IF($J255='Auto Responses'!$J$12,10,IF($J255='Auto Responses'!$J$11,20,0)))))</f>
        <v>20</v>
      </c>
      <c r="P255" s="284">
        <f>IF(OR($O255='Auto Responses'!$J$5,$L255='Auto Responses'!$J$5),'Auto Responses'!$J$5,$O255*$L255)</f>
        <v>20</v>
      </c>
      <c r="Q255" s="284">
        <f t="shared" si="22"/>
        <v>0</v>
      </c>
      <c r="R255" s="284">
        <f t="shared" si="26"/>
        <v>0</v>
      </c>
      <c r="S255" s="284">
        <f t="shared" si="23"/>
        <v>0</v>
      </c>
      <c r="T255" s="284">
        <f t="shared" si="24"/>
        <v>1</v>
      </c>
      <c r="U255" s="284">
        <f t="shared" si="27"/>
        <v>66</v>
      </c>
      <c r="V255" s="284">
        <f t="shared" si="25"/>
        <v>66</v>
      </c>
    </row>
    <row r="256" spans="1:22" ht="55.5" customHeight="1" x14ac:dyDescent="0.2">
      <c r="A256" s="315" t="str">
        <f>Questions!$A256</f>
        <v>PDAT-03</v>
      </c>
      <c r="B256" s="315" t="str">
        <f t="shared" si="21"/>
        <v>PDAT</v>
      </c>
      <c r="C256" s="315" t="str">
        <f>VLOOKUP($A256,Questions!$A$3:$L$333,2,0)&amp;""</f>
        <v>Do you combine institutional data (including "de-identified," "anonymized," or otherwise masked data) with personal data from any other sources?*</v>
      </c>
      <c r="D256" s="315" t="str">
        <f>VLOOKUP($A256,Questions!$A$3:$L$333,11,0)&amp;""</f>
        <v/>
      </c>
      <c r="E256" s="315" t="str">
        <f>VLOOKUP($A256,Questions!$A$3:$L$333,12,0)&amp;""</f>
        <v>Privacy</v>
      </c>
      <c r="F256" s="315" t="str">
        <f>VLOOKUP($A256,'Privacy Analyst Evaluation'!$A$46:$K$120,3,0)&amp;""</f>
        <v>No</v>
      </c>
      <c r="G256" s="315" t="str">
        <f>VLOOKUP($A256,'Privacy Analyst Evaluation'!$A$46:$K$120,7,0)&amp;""</f>
        <v>No</v>
      </c>
      <c r="H256" s="315" t="str">
        <f>VLOOKUP($A256,'Privacy Analyst Evaluation'!$A$46:$K$120,8,0)&amp;""</f>
        <v/>
      </c>
      <c r="I256" s="315" t="str">
        <f>VLOOKUP($A256,'Privacy Analyst Evaluation'!$A$46:$K$120,9,0)&amp;""</f>
        <v>Critical Importance</v>
      </c>
      <c r="J256" s="315" t="str">
        <f>VLOOKUP($A256,'Privacy Analyst Evaluation'!$A$46:$K$120,10,0)&amp;""</f>
        <v/>
      </c>
      <c r="K256" s="315">
        <f>IF($I256='Auto Responses'!$J$11,20,IF($I256='Auto Responses'!$J$13,5,10))</f>
        <v>20</v>
      </c>
      <c r="L256" s="284">
        <f>IF($E256='Auto Responses'!$L$13, 'Auto Responses'!$J$5,IF(AND($D256='Auto Responses'!$J$27,$H256=""),'Auto Responses'!$J$5,IF(AND($D256='Auto Responses'!$J$27,$H256='Auto Responses'!$J$7),1,IF(AND($D256='Auto Responses'!$J$27,$H256='Auto Responses'!$J$8),0,IF(OR(AND($F256=$G256,$H256=""),$H256='Auto Responses'!$J$7),1,0)))))</f>
        <v>1</v>
      </c>
      <c r="M256" s="315" t="str">
        <f>VLOOKUP($A256,'Privacy Analyst Evaluation'!$A$46:$K$120,11,0)&amp;""</f>
        <v>FALSCH</v>
      </c>
      <c r="N256" s="315">
        <f>IF($J256='Auto Responses'!$J$11,1,IF(AND($J256="",$I256='Auto Responses'!$J$11),1,0))</f>
        <v>1</v>
      </c>
      <c r="O256" s="284">
        <f>IF(OR($E256='Auto Responses'!$L$13,$F$24='Auto Responses'!$J$4,$F256='Auto Responses'!$J$5),'Auto Responses'!$J$5,IF($J256="",$K256,IF($J256='Auto Responses'!$J$13,5,IF($J256='Auto Responses'!$J$12,10,IF($J256='Auto Responses'!$J$11,20,0)))))</f>
        <v>20</v>
      </c>
      <c r="P256" s="284">
        <f>IF(OR($O256='Auto Responses'!$J$5,$L256='Auto Responses'!$J$5),'Auto Responses'!$J$5,$O256*$L256)</f>
        <v>20</v>
      </c>
      <c r="Q256" s="284">
        <f t="shared" si="22"/>
        <v>0</v>
      </c>
      <c r="R256" s="284">
        <f t="shared" si="26"/>
        <v>0</v>
      </c>
      <c r="S256" s="284">
        <f t="shared" si="23"/>
        <v>0</v>
      </c>
      <c r="T256" s="284">
        <f t="shared" si="24"/>
        <v>1</v>
      </c>
      <c r="U256" s="284">
        <f t="shared" si="27"/>
        <v>67</v>
      </c>
      <c r="V256" s="284">
        <f t="shared" si="25"/>
        <v>67</v>
      </c>
    </row>
    <row r="257" spans="1:22" ht="55.5" customHeight="1" x14ac:dyDescent="0.2">
      <c r="A257" s="315" t="str">
        <f>Questions!$A257</f>
        <v>PDAT-04</v>
      </c>
      <c r="B257" s="315" t="str">
        <f t="shared" si="21"/>
        <v>PDAT</v>
      </c>
      <c r="C257" s="315" t="str">
        <f>VLOOKUP($A257,Questions!$A$3:$L$333,2,0)&amp;""</f>
        <v>Is institutional data coming into or going out of the United States at any point during collection, processing, storage, or archiving?</v>
      </c>
      <c r="D257" s="315" t="str">
        <f>VLOOKUP($A257,Questions!$A$3:$L$333,11,0)&amp;""</f>
        <v/>
      </c>
      <c r="E257" s="315" t="str">
        <f>VLOOKUP($A257,Questions!$A$3:$L$333,12,0)&amp;""</f>
        <v>Privacy</v>
      </c>
      <c r="F257" s="315" t="str">
        <f>VLOOKUP($A257,'Privacy Analyst Evaluation'!$A$46:$K$120,3,0)&amp;""</f>
        <v>No</v>
      </c>
      <c r="G257" s="315" t="str">
        <f>VLOOKUP($A257,'Privacy Analyst Evaluation'!$A$46:$K$120,7,0)&amp;""</f>
        <v>No</v>
      </c>
      <c r="H257" s="315" t="str">
        <f>VLOOKUP($A257,'Privacy Analyst Evaluation'!$A$46:$K$120,8,0)&amp;""</f>
        <v/>
      </c>
      <c r="I257" s="315" t="str">
        <f>VLOOKUP($A257,'Privacy Analyst Evaluation'!$A$46:$K$120,9,0)&amp;""</f>
        <v>Minor Importance</v>
      </c>
      <c r="J257" s="315" t="str">
        <f>VLOOKUP($A257,'Privacy Analyst Evaluation'!$A$46:$K$120,10,0)&amp;""</f>
        <v/>
      </c>
      <c r="K257" s="315">
        <f>IF($I257='Auto Responses'!$J$11,20,IF($I257='Auto Responses'!$J$13,5,10))</f>
        <v>5</v>
      </c>
      <c r="L257" s="284">
        <f>IF($E257='Auto Responses'!$L$13, 'Auto Responses'!$J$5,IF(AND($D257='Auto Responses'!$J$27,$H257=""),'Auto Responses'!$J$5,IF(AND($D257='Auto Responses'!$J$27,$H257='Auto Responses'!$J$7),1,IF(AND($D257='Auto Responses'!$J$27,$H257='Auto Responses'!$J$8),0,IF(OR(AND($F257=$G257,$H257=""),$H257='Auto Responses'!$J$7),1,0)))))</f>
        <v>1</v>
      </c>
      <c r="M257" s="315" t="str">
        <f>VLOOKUP($A257,'Privacy Analyst Evaluation'!$A$46:$K$120,11,0)&amp;""</f>
        <v>FALSCH</v>
      </c>
      <c r="N257" s="315">
        <f>IF($J257='Auto Responses'!$J$11,1,IF(AND($J257="",$I257='Auto Responses'!$J$11),1,0))</f>
        <v>0</v>
      </c>
      <c r="O257" s="284">
        <f>IF(OR($E257='Auto Responses'!$L$13,$F$24='Auto Responses'!$J$4,$F257='Auto Responses'!$J$5),'Auto Responses'!$J$5,IF($J257="",$K257,IF($J257='Auto Responses'!$J$13,5,IF($J257='Auto Responses'!$J$12,10,IF($J257='Auto Responses'!$J$11,20,0)))))</f>
        <v>5</v>
      </c>
      <c r="P257" s="284">
        <f>IF(OR($O257='Auto Responses'!$J$5,$L257='Auto Responses'!$J$5),'Auto Responses'!$J$5,$O257*$L257)</f>
        <v>5</v>
      </c>
      <c r="Q257" s="284">
        <f t="shared" si="22"/>
        <v>0</v>
      </c>
      <c r="R257" s="284">
        <f t="shared" si="26"/>
        <v>0</v>
      </c>
      <c r="S257" s="284">
        <f t="shared" si="23"/>
        <v>0</v>
      </c>
      <c r="T257" s="284">
        <f t="shared" si="24"/>
        <v>0</v>
      </c>
      <c r="U257" s="284">
        <f t="shared" si="27"/>
        <v>67</v>
      </c>
      <c r="V257" s="284">
        <f t="shared" si="25"/>
        <v>0</v>
      </c>
    </row>
    <row r="258" spans="1:22" ht="55.5" customHeight="1" x14ac:dyDescent="0.2">
      <c r="A258" s="315" t="str">
        <f>Questions!$A258</f>
        <v>PDAT-05</v>
      </c>
      <c r="B258" s="315" t="str">
        <f t="shared" si="21"/>
        <v>PDAT</v>
      </c>
      <c r="C258" s="315" t="str">
        <f>VLOOKUP($A258,Questions!$A$3:$L$333,2,0)&amp;""</f>
        <v>Do you capture device information (e.g., IP address, MAC address)?</v>
      </c>
      <c r="D258" s="315" t="str">
        <f>VLOOKUP($A258,Questions!$A$3:$L$333,11,0)&amp;""</f>
        <v/>
      </c>
      <c r="E258" s="315" t="str">
        <f>VLOOKUP($A258,Questions!$A$3:$L$333,12,0)&amp;""</f>
        <v>Privacy</v>
      </c>
      <c r="F258" s="315" t="str">
        <f>VLOOKUP($A258,'Privacy Analyst Evaluation'!$A$46:$K$120,3,0)&amp;""</f>
        <v>Yes</v>
      </c>
      <c r="G258" s="315" t="str">
        <f>VLOOKUP($A258,'Privacy Analyst Evaluation'!$A$46:$K$120,7,0)&amp;""</f>
        <v>No</v>
      </c>
      <c r="H258" s="315" t="str">
        <f>VLOOKUP($A258,'Privacy Analyst Evaluation'!$A$46:$K$120,8,0)&amp;""</f>
        <v/>
      </c>
      <c r="I258" s="315" t="str">
        <f>VLOOKUP($A258,'Privacy Analyst Evaluation'!$A$46:$K$120,9,0)&amp;""</f>
        <v>Minor Importance</v>
      </c>
      <c r="J258" s="315" t="str">
        <f>VLOOKUP($A258,'Privacy Analyst Evaluation'!$A$46:$K$120,10,0)&amp;""</f>
        <v/>
      </c>
      <c r="K258" s="315">
        <f>IF($I258='Auto Responses'!$J$11,20,IF($I258='Auto Responses'!$J$13,5,10))</f>
        <v>5</v>
      </c>
      <c r="L258" s="284">
        <f>IF($E258='Auto Responses'!$L$13, 'Auto Responses'!$J$5,IF(AND($D258='Auto Responses'!$J$27,$H258=""),'Auto Responses'!$J$5,IF(AND($D258='Auto Responses'!$J$27,$H258='Auto Responses'!$J$7),1,IF(AND($D258='Auto Responses'!$J$27,$H258='Auto Responses'!$J$8),0,IF(OR(AND($F258=$G258,$H258=""),$H258='Auto Responses'!$J$7),1,0)))))</f>
        <v>0</v>
      </c>
      <c r="M258" s="315" t="str">
        <f>VLOOKUP($A258,'Privacy Analyst Evaluation'!$A$46:$K$120,11,0)&amp;""</f>
        <v>FALSCH</v>
      </c>
      <c r="N258" s="315">
        <f>IF($J258='Auto Responses'!$J$11,1,IF(AND($J258="",$I258='Auto Responses'!$J$11),1,0))</f>
        <v>0</v>
      </c>
      <c r="O258" s="284">
        <f>IF(OR($E258='Auto Responses'!$L$13,$F$24='Auto Responses'!$J$4,$F258='Auto Responses'!$J$5),'Auto Responses'!$J$5,IF($J258="",$K258,IF($J258='Auto Responses'!$J$13,5,IF($J258='Auto Responses'!$J$12,10,IF($J258='Auto Responses'!$J$11,20,0)))))</f>
        <v>5</v>
      </c>
      <c r="P258" s="284">
        <f>IF(OR($O258='Auto Responses'!$J$5,$L258='Auto Responses'!$J$5),'Auto Responses'!$J$5,$O258*$L258)</f>
        <v>0</v>
      </c>
      <c r="Q258" s="284">
        <f t="shared" si="22"/>
        <v>0</v>
      </c>
      <c r="R258" s="284">
        <f t="shared" si="26"/>
        <v>0</v>
      </c>
      <c r="S258" s="284">
        <f t="shared" si="23"/>
        <v>0</v>
      </c>
      <c r="T258" s="284">
        <f t="shared" si="24"/>
        <v>0</v>
      </c>
      <c r="U258" s="284">
        <f t="shared" si="27"/>
        <v>67</v>
      </c>
      <c r="V258" s="284">
        <f t="shared" si="25"/>
        <v>0</v>
      </c>
    </row>
    <row r="259" spans="1:22" ht="55.5" customHeight="1" x14ac:dyDescent="0.2">
      <c r="A259" s="315" t="str">
        <f>Questions!$A259</f>
        <v>PDAT-06</v>
      </c>
      <c r="B259" s="315" t="str">
        <f t="shared" ref="B259:B322" si="28">LEFT(A259,4)</f>
        <v>PDAT</v>
      </c>
      <c r="C259" s="315" t="str">
        <f>VLOOKUP($A259,Questions!$A$3:$L$333,2,0)&amp;""</f>
        <v>Does any part of this service/project involve a web/app tracking component (e.g., use of web-tracking pixels, cookies)?</v>
      </c>
      <c r="D259" s="315" t="str">
        <f>VLOOKUP($A259,Questions!$A$3:$L$333,11,0)&amp;""</f>
        <v/>
      </c>
      <c r="E259" s="315" t="str">
        <f>VLOOKUP($A259,Questions!$A$3:$L$333,12,0)&amp;""</f>
        <v>Privacy</v>
      </c>
      <c r="F259" s="315" t="str">
        <f>VLOOKUP($A259,'Privacy Analyst Evaluation'!$A$46:$K$120,3,0)&amp;""</f>
        <v>Yes</v>
      </c>
      <c r="G259" s="315" t="str">
        <f>VLOOKUP($A259,'Privacy Analyst Evaluation'!$A$46:$K$120,7,0)&amp;""</f>
        <v>No</v>
      </c>
      <c r="H259" s="315" t="str">
        <f>VLOOKUP($A259,'Privacy Analyst Evaluation'!$A$46:$K$120,8,0)&amp;""</f>
        <v/>
      </c>
      <c r="I259" s="315" t="str">
        <f>VLOOKUP($A259,'Privacy Analyst Evaluation'!$A$46:$K$120,9,0)&amp;""</f>
        <v>Minor Importance</v>
      </c>
      <c r="J259" s="315" t="str">
        <f>VLOOKUP($A259,'Privacy Analyst Evaluation'!$A$46:$K$120,10,0)&amp;""</f>
        <v/>
      </c>
      <c r="K259" s="315">
        <f>IF($I259='Auto Responses'!$J$11,20,IF($I259='Auto Responses'!$J$13,5,10))</f>
        <v>5</v>
      </c>
      <c r="L259" s="284">
        <f>IF($E259='Auto Responses'!$L$13, 'Auto Responses'!$J$5,IF(AND($D259='Auto Responses'!$J$27,$H259=""),'Auto Responses'!$J$5,IF(AND($D259='Auto Responses'!$J$27,$H259='Auto Responses'!$J$7),1,IF(AND($D259='Auto Responses'!$J$27,$H259='Auto Responses'!$J$8),0,IF(OR(AND($F259=$G259,$H259=""),$H259='Auto Responses'!$J$7),1,0)))))</f>
        <v>0</v>
      </c>
      <c r="M259" s="315" t="str">
        <f>VLOOKUP($A259,'Privacy Analyst Evaluation'!$A$46:$K$120,11,0)&amp;""</f>
        <v>FALSCH</v>
      </c>
      <c r="N259" s="315">
        <f>IF($J259='Auto Responses'!$J$11,1,IF(AND($J259="",$I259='Auto Responses'!$J$11),1,0))</f>
        <v>0</v>
      </c>
      <c r="O259" s="284">
        <f>IF(OR($E259='Auto Responses'!$L$13,$F$24='Auto Responses'!$J$4,$F259='Auto Responses'!$J$5),'Auto Responses'!$J$5,IF($J259="",$K259,IF($J259='Auto Responses'!$J$13,5,IF($J259='Auto Responses'!$J$12,10,IF($J259='Auto Responses'!$J$11,20,0)))))</f>
        <v>5</v>
      </c>
      <c r="P259" s="284">
        <f>IF(OR($O259='Auto Responses'!$J$5,$L259='Auto Responses'!$J$5),'Auto Responses'!$J$5,$O259*$L259)</f>
        <v>0</v>
      </c>
      <c r="Q259" s="284">
        <f t="shared" ref="Q259:Q322" si="29">IF(M259="TRUE",1,0)</f>
        <v>0</v>
      </c>
      <c r="R259" s="284">
        <f t="shared" si="26"/>
        <v>0</v>
      </c>
      <c r="S259" s="284">
        <f t="shared" ref="S259:S322" si="30">IF(Q259=0,0,R259)</f>
        <v>0</v>
      </c>
      <c r="T259" s="284">
        <f t="shared" ref="T259:T322" si="31">IF(N259=1,1,0)</f>
        <v>0</v>
      </c>
      <c r="U259" s="284">
        <f t="shared" si="27"/>
        <v>67</v>
      </c>
      <c r="V259" s="284">
        <f t="shared" ref="V259:V322" si="32">IF(T259=0,0,U259)</f>
        <v>0</v>
      </c>
    </row>
    <row r="260" spans="1:22" ht="55.5" customHeight="1" x14ac:dyDescent="0.2">
      <c r="A260" s="315" t="str">
        <f>Questions!$A260</f>
        <v>PDAT-07</v>
      </c>
      <c r="B260" s="315" t="str">
        <f t="shared" si="28"/>
        <v>PDAT</v>
      </c>
      <c r="C260" s="315" t="str">
        <f>VLOOKUP($A260,Questions!$A$3:$L$333,2,0)&amp;""</f>
        <v>Does your staff (or a third party) have access to institutional data (e.g., financial, PHI, or other sensitive information) through any means?</v>
      </c>
      <c r="D260" s="315" t="str">
        <f>VLOOKUP($A260,Questions!$A$3:$L$333,11,0)&amp;""</f>
        <v/>
      </c>
      <c r="E260" s="315" t="str">
        <f>VLOOKUP($A260,Questions!$A$3:$L$333,12,0)&amp;""</f>
        <v>Privacy</v>
      </c>
      <c r="F260" s="315" t="str">
        <f>VLOOKUP($A260,'Privacy Analyst Evaluation'!$A$46:$K$120,3,0)&amp;""</f>
        <v>No</v>
      </c>
      <c r="G260" s="315" t="str">
        <f>VLOOKUP($A260,'Privacy Analyst Evaluation'!$A$46:$K$120,7,0)&amp;""</f>
        <v>No</v>
      </c>
      <c r="H260" s="315" t="str">
        <f>VLOOKUP($A260,'Privacy Analyst Evaluation'!$A$46:$K$120,8,0)&amp;""</f>
        <v/>
      </c>
      <c r="I260" s="315" t="str">
        <f>VLOOKUP($A260,'Privacy Analyst Evaluation'!$A$46:$K$120,9,0)&amp;""</f>
        <v>Minor Importance</v>
      </c>
      <c r="J260" s="315" t="str">
        <f>VLOOKUP($A260,'Privacy Analyst Evaluation'!$A$46:$K$120,10,0)&amp;""</f>
        <v/>
      </c>
      <c r="K260" s="315">
        <f>IF($I260='Auto Responses'!$J$11,20,IF($I260='Auto Responses'!$J$13,5,10))</f>
        <v>5</v>
      </c>
      <c r="L260" s="284">
        <f>IF($E260='Auto Responses'!$L$13, 'Auto Responses'!$J$5,IF(AND($D260='Auto Responses'!$J$27,$H260=""),'Auto Responses'!$J$5,IF(AND($D260='Auto Responses'!$J$27,$H260='Auto Responses'!$J$7),1,IF(AND($D260='Auto Responses'!$J$27,$H260='Auto Responses'!$J$8),0,IF(OR(AND($F260=$G260,$H260=""),$H260='Auto Responses'!$J$7),1,0)))))</f>
        <v>1</v>
      </c>
      <c r="M260" s="315" t="str">
        <f>VLOOKUP($A260,'Privacy Analyst Evaluation'!$A$46:$K$120,11,0)&amp;""</f>
        <v>FALSCH</v>
      </c>
      <c r="N260" s="315">
        <f>IF($J260='Auto Responses'!$J$11,1,IF(AND($J260="",$I260='Auto Responses'!$J$11),1,0))</f>
        <v>0</v>
      </c>
      <c r="O260" s="284">
        <f>IF(OR($E260='Auto Responses'!$L$13,$F$24='Auto Responses'!$J$4,$F260='Auto Responses'!$J$5),'Auto Responses'!$J$5,IF($J260="",$K260,IF($J260='Auto Responses'!$J$13,5,IF($J260='Auto Responses'!$J$12,10,IF($J260='Auto Responses'!$J$11,20,0)))))</f>
        <v>5</v>
      </c>
      <c r="P260" s="284">
        <f>IF(OR($O260='Auto Responses'!$J$5,$L260='Auto Responses'!$J$5),'Auto Responses'!$J$5,$O260*$L260)</f>
        <v>5</v>
      </c>
      <c r="Q260" s="284">
        <f t="shared" si="29"/>
        <v>0</v>
      </c>
      <c r="R260" s="284">
        <f t="shared" ref="R260:R323" si="33">R259+Q260</f>
        <v>0</v>
      </c>
      <c r="S260" s="284">
        <f t="shared" si="30"/>
        <v>0</v>
      </c>
      <c r="T260" s="284">
        <f t="shared" si="31"/>
        <v>0</v>
      </c>
      <c r="U260" s="284">
        <f t="shared" ref="U260:U323" si="34">U259+T260</f>
        <v>67</v>
      </c>
      <c r="V260" s="284">
        <f t="shared" si="32"/>
        <v>0</v>
      </c>
    </row>
    <row r="261" spans="1:22" ht="55.5" customHeight="1" x14ac:dyDescent="0.2">
      <c r="A261" s="315" t="str">
        <f>Questions!$A261</f>
        <v>PDAT-08</v>
      </c>
      <c r="B261" s="315" t="str">
        <f t="shared" si="28"/>
        <v>PDAT</v>
      </c>
      <c r="C261" s="315" t="str">
        <f>VLOOKUP($A261,Questions!$A$3:$L$333,2,0)&amp;""</f>
        <v>Will you handle personal data in a manner compliant with all relevant laws, regulations, and applicable institution policies?</v>
      </c>
      <c r="D261" s="315" t="str">
        <f>VLOOKUP($A261,Questions!$A$3:$L$333,11,0)&amp;""</f>
        <v/>
      </c>
      <c r="E261" s="315" t="str">
        <f>VLOOKUP($A261,Questions!$A$3:$L$333,12,0)&amp;""</f>
        <v>Not scored</v>
      </c>
      <c r="F261" s="315" t="str">
        <f>VLOOKUP($A261,'Privacy Analyst Evaluation'!$A$46:$K$120,3,0)&amp;""</f>
        <v>Yes</v>
      </c>
      <c r="G261" s="315" t="str">
        <f>VLOOKUP($A261,'Privacy Analyst Evaluation'!$A$46:$K$120,7,0)&amp;""</f>
        <v>Not scored</v>
      </c>
      <c r="H261" s="315" t="str">
        <f>VLOOKUP($A261,'Privacy Analyst Evaluation'!$A$46:$K$120,8,0)&amp;""</f>
        <v/>
      </c>
      <c r="I261" s="315" t="str">
        <f>VLOOKUP($A261,'Privacy Analyst Evaluation'!$A$46:$K$120,9,0)&amp;""</f>
        <v/>
      </c>
      <c r="J261" s="315" t="str">
        <f>VLOOKUP($A261,'Privacy Analyst Evaluation'!$A$46:$K$120,10,0)&amp;""</f>
        <v/>
      </c>
      <c r="K261" s="315">
        <f>IF($I261='Auto Responses'!$J$11,20,IF($I261='Auto Responses'!$J$13,5,10))</f>
        <v>10</v>
      </c>
      <c r="L261" s="284" t="str">
        <f>IF($E261='Auto Responses'!$L$13, 'Auto Responses'!$J$5,IF(AND($D261='Auto Responses'!$J$27,$H261=""),'Auto Responses'!$J$5,IF(AND($D261='Auto Responses'!$J$27,$H261='Auto Responses'!$J$7),1,IF(AND($D261='Auto Responses'!$J$27,$H261='Auto Responses'!$J$8),0,IF(OR(AND($F261=$G261,$H261=""),$H261='Auto Responses'!$J$7),1,0)))))</f>
        <v>N/A</v>
      </c>
      <c r="M261" s="315" t="str">
        <f>VLOOKUP($A261,'Privacy Analyst Evaluation'!$A$46:$K$120,11,0)&amp;""</f>
        <v>FALSCH</v>
      </c>
      <c r="N261" s="315">
        <f>IF($J261='Auto Responses'!$J$11,1,IF(AND($J261="",$I261='Auto Responses'!$J$11),1,0))</f>
        <v>0</v>
      </c>
      <c r="O261" s="284" t="str">
        <f>IF(OR($E261='Auto Responses'!$L$13,$F$24='Auto Responses'!$J$4,$F261='Auto Responses'!$J$5),'Auto Responses'!$J$5,IF($J261="",$K261,IF($J261='Auto Responses'!$J$13,5,IF($J261='Auto Responses'!$J$12,10,IF($J261='Auto Responses'!$J$11,20,0)))))</f>
        <v>N/A</v>
      </c>
      <c r="P261" s="284" t="str">
        <f>IF(OR($O261='Auto Responses'!$J$5,$L261='Auto Responses'!$J$5),'Auto Responses'!$J$5,$O261*$L261)</f>
        <v>N/A</v>
      </c>
      <c r="Q261" s="284">
        <f t="shared" si="29"/>
        <v>0</v>
      </c>
      <c r="R261" s="284">
        <f t="shared" si="33"/>
        <v>0</v>
      </c>
      <c r="S261" s="284">
        <f t="shared" si="30"/>
        <v>0</v>
      </c>
      <c r="T261" s="284">
        <f t="shared" si="31"/>
        <v>0</v>
      </c>
      <c r="U261" s="284">
        <f t="shared" si="34"/>
        <v>67</v>
      </c>
      <c r="V261" s="284">
        <f t="shared" si="32"/>
        <v>0</v>
      </c>
    </row>
    <row r="262" spans="1:22" ht="55.5" customHeight="1" x14ac:dyDescent="0.2">
      <c r="A262" s="315" t="str">
        <f>Questions!$A262</f>
        <v>PRPO-01</v>
      </c>
      <c r="B262" s="315" t="str">
        <f t="shared" si="28"/>
        <v>PRPO</v>
      </c>
      <c r="C262" s="315" t="str">
        <f>VLOOKUP($A262,Questions!$A$3:$L$333,2,0)&amp;""</f>
        <v>Do you have a documented privacy management process?</v>
      </c>
      <c r="D262" s="315" t="str">
        <f>VLOOKUP($A262,Questions!$A$3:$L$333,11,0)&amp;""</f>
        <v/>
      </c>
      <c r="E262" s="315" t="str">
        <f>VLOOKUP($A262,Questions!$A$3:$L$333,12,0)&amp;""</f>
        <v>Privacy</v>
      </c>
      <c r="F262" s="315" t="str">
        <f>VLOOKUP($A262,'Privacy Analyst Evaluation'!$A$46:$K$120,3,0)&amp;""</f>
        <v>No</v>
      </c>
      <c r="G262" s="315" t="str">
        <f>VLOOKUP($A262,'Privacy Analyst Evaluation'!$A$46:$K$120,7,0)&amp;""</f>
        <v>Yes</v>
      </c>
      <c r="H262" s="315" t="str">
        <f>VLOOKUP($A262,'Privacy Analyst Evaluation'!$A$46:$K$120,8,0)&amp;""</f>
        <v/>
      </c>
      <c r="I262" s="315" t="str">
        <f>VLOOKUP($A262,'Privacy Analyst Evaluation'!$A$46:$K$120,9,0)&amp;""</f>
        <v>Minor Importance</v>
      </c>
      <c r="J262" s="315" t="str">
        <f>VLOOKUP($A262,'Privacy Analyst Evaluation'!$A$46:$K$120,10,0)&amp;""</f>
        <v/>
      </c>
      <c r="K262" s="315">
        <f>IF($I262='Auto Responses'!$J$11,20,IF($I262='Auto Responses'!$J$13,5,10))</f>
        <v>5</v>
      </c>
      <c r="L262" s="284">
        <f>IF($E262='Auto Responses'!$L$13, 'Auto Responses'!$J$5,IF(AND($D262='Auto Responses'!$J$27,$H262=""),'Auto Responses'!$J$5,IF(AND($D262='Auto Responses'!$J$27,$H262='Auto Responses'!$J$7),1,IF(AND($D262='Auto Responses'!$J$27,$H262='Auto Responses'!$J$8),0,IF(OR(AND($F262=$G262,$H262=""),$H262='Auto Responses'!$J$7),1,0)))))</f>
        <v>0</v>
      </c>
      <c r="M262" s="315" t="str">
        <f>VLOOKUP($A262,'Privacy Analyst Evaluation'!$A$46:$K$120,11,0)&amp;""</f>
        <v>FALSCH</v>
      </c>
      <c r="N262" s="315">
        <f>IF($J262='Auto Responses'!$J$11,1,IF(AND($J262="",$I262='Auto Responses'!$J$11),1,0))</f>
        <v>0</v>
      </c>
      <c r="O262" s="284">
        <f>IF(OR($E262='Auto Responses'!$L$13,$F$24='Auto Responses'!$J$4,$F262='Auto Responses'!$J$5),'Auto Responses'!$J$5,IF($J262="",$K262,IF($J262='Auto Responses'!$J$13,5,IF($J262='Auto Responses'!$J$12,10,IF($J262='Auto Responses'!$J$11,20,0)))))</f>
        <v>5</v>
      </c>
      <c r="P262" s="284">
        <f>IF(OR($O262='Auto Responses'!$J$5,$L262='Auto Responses'!$J$5),'Auto Responses'!$J$5,$O262*$L262)</f>
        <v>0</v>
      </c>
      <c r="Q262" s="284">
        <f t="shared" si="29"/>
        <v>0</v>
      </c>
      <c r="R262" s="284">
        <f t="shared" si="33"/>
        <v>0</v>
      </c>
      <c r="S262" s="284">
        <f t="shared" si="30"/>
        <v>0</v>
      </c>
      <c r="T262" s="284">
        <f t="shared" si="31"/>
        <v>0</v>
      </c>
      <c r="U262" s="284">
        <f t="shared" si="34"/>
        <v>67</v>
      </c>
      <c r="V262" s="284">
        <f t="shared" si="32"/>
        <v>0</v>
      </c>
    </row>
    <row r="263" spans="1:22" ht="55.5" customHeight="1" x14ac:dyDescent="0.2">
      <c r="A263" s="315" t="str">
        <f>Questions!$A263</f>
        <v>PRPO-02</v>
      </c>
      <c r="B263" s="315" t="str">
        <f t="shared" si="28"/>
        <v>PRPO</v>
      </c>
      <c r="C263" s="315" t="str">
        <f>VLOOKUP($A263,Questions!$A$3:$L$333,2,0)&amp;""</f>
        <v>Are privacy principles designed into the product lifecycle (i.e., privacy-by-design)?</v>
      </c>
      <c r="D263" s="315" t="str">
        <f>VLOOKUP($A263,Questions!$A$3:$L$333,11,0)&amp;""</f>
        <v/>
      </c>
      <c r="E263" s="315" t="str">
        <f>VLOOKUP($A263,Questions!$A$3:$L$333,12,0)&amp;""</f>
        <v>Privacy</v>
      </c>
      <c r="F263" s="315" t="str">
        <f>VLOOKUP($A263,'Privacy Analyst Evaluation'!$A$46:$K$120,3,0)&amp;""</f>
        <v>Yes</v>
      </c>
      <c r="G263" s="315" t="str">
        <f>VLOOKUP($A263,'Privacy Analyst Evaluation'!$A$46:$K$120,7,0)&amp;""</f>
        <v>Yes</v>
      </c>
      <c r="H263" s="315" t="str">
        <f>VLOOKUP($A263,'Privacy Analyst Evaluation'!$A$46:$K$120,8,0)&amp;""</f>
        <v/>
      </c>
      <c r="I263" s="315" t="str">
        <f>VLOOKUP($A263,'Privacy Analyst Evaluation'!$A$46:$K$120,9,0)&amp;""</f>
        <v>Minor Importance</v>
      </c>
      <c r="J263" s="315" t="str">
        <f>VLOOKUP($A263,'Privacy Analyst Evaluation'!$A$46:$K$120,10,0)&amp;""</f>
        <v/>
      </c>
      <c r="K263" s="315">
        <f>IF($I263='Auto Responses'!$J$11,20,IF($I263='Auto Responses'!$J$13,5,10))</f>
        <v>5</v>
      </c>
      <c r="L263" s="284">
        <f>IF($E263='Auto Responses'!$L$13, 'Auto Responses'!$J$5,IF(AND($D263='Auto Responses'!$J$27,$H263=""),'Auto Responses'!$J$5,IF(AND($D263='Auto Responses'!$J$27,$H263='Auto Responses'!$J$7),1,IF(AND($D263='Auto Responses'!$J$27,$H263='Auto Responses'!$J$8),0,IF(OR(AND($F263=$G263,$H263=""),$H263='Auto Responses'!$J$7),1,0)))))</f>
        <v>1</v>
      </c>
      <c r="M263" s="315" t="str">
        <f>VLOOKUP($A263,'Privacy Analyst Evaluation'!$A$46:$K$120,11,0)&amp;""</f>
        <v>FALSCH</v>
      </c>
      <c r="N263" s="315">
        <f>IF($J263='Auto Responses'!$J$11,1,IF(AND($J263="",$I263='Auto Responses'!$J$11),1,0))</f>
        <v>0</v>
      </c>
      <c r="O263" s="284">
        <f>IF(OR($E263='Auto Responses'!$L$13,$F$24='Auto Responses'!$J$4,$F263='Auto Responses'!$J$5),'Auto Responses'!$J$5,IF($J263="",$K263,IF($J263='Auto Responses'!$J$13,5,IF($J263='Auto Responses'!$J$12,10,IF($J263='Auto Responses'!$J$11,20,0)))))</f>
        <v>5</v>
      </c>
      <c r="P263" s="284">
        <f>IF(OR($O263='Auto Responses'!$J$5,$L263='Auto Responses'!$J$5),'Auto Responses'!$J$5,$O263*$L263)</f>
        <v>5</v>
      </c>
      <c r="Q263" s="284">
        <f t="shared" si="29"/>
        <v>0</v>
      </c>
      <c r="R263" s="284">
        <f t="shared" si="33"/>
        <v>0</v>
      </c>
      <c r="S263" s="284">
        <f t="shared" si="30"/>
        <v>0</v>
      </c>
      <c r="T263" s="284">
        <f t="shared" si="31"/>
        <v>0</v>
      </c>
      <c r="U263" s="284">
        <f t="shared" si="34"/>
        <v>67</v>
      </c>
      <c r="V263" s="284">
        <f t="shared" si="32"/>
        <v>0</v>
      </c>
    </row>
    <row r="264" spans="1:22" ht="55.5" customHeight="1" x14ac:dyDescent="0.2">
      <c r="A264" s="315" t="str">
        <f>Questions!$A264</f>
        <v>PRPO-03</v>
      </c>
      <c r="B264" s="315" t="str">
        <f t="shared" si="28"/>
        <v>PRPO</v>
      </c>
      <c r="C264" s="315" t="str">
        <f>VLOOKUP($A264,Questions!$A$3:$L$333,2,0)&amp;""</f>
        <v>Will you comply with applicable breach notification laws?</v>
      </c>
      <c r="D264" s="315" t="str">
        <f>VLOOKUP($A264,Questions!$A$3:$L$333,11,0)&amp;""</f>
        <v/>
      </c>
      <c r="E264" s="315" t="str">
        <f>VLOOKUP($A264,Questions!$A$3:$L$333,12,0)&amp;""</f>
        <v>Privacy</v>
      </c>
      <c r="F264" s="315" t="str">
        <f>VLOOKUP($A264,'Privacy Analyst Evaluation'!$A$46:$K$120,3,0)&amp;""</f>
        <v>Yes</v>
      </c>
      <c r="G264" s="315" t="str">
        <f>VLOOKUP($A264,'Privacy Analyst Evaluation'!$A$46:$K$120,7,0)&amp;""</f>
        <v>Yes</v>
      </c>
      <c r="H264" s="315" t="str">
        <f>VLOOKUP($A264,'Privacy Analyst Evaluation'!$A$46:$K$120,8,0)&amp;""</f>
        <v/>
      </c>
      <c r="I264" s="315" t="str">
        <f>VLOOKUP($A264,'Privacy Analyst Evaluation'!$A$46:$K$120,9,0)&amp;""</f>
        <v>Standard Importance</v>
      </c>
      <c r="J264" s="315" t="str">
        <f>VLOOKUP($A264,'Privacy Analyst Evaluation'!$A$46:$K$120,10,0)&amp;""</f>
        <v/>
      </c>
      <c r="K264" s="315">
        <f>IF($I264='Auto Responses'!$J$11,20,IF($I264='Auto Responses'!$J$13,5,10))</f>
        <v>10</v>
      </c>
      <c r="L264" s="284">
        <f>IF($E264='Auto Responses'!$L$13, 'Auto Responses'!$J$5,IF(AND($D264='Auto Responses'!$J$27,$H264=""),'Auto Responses'!$J$5,IF(AND($D264='Auto Responses'!$J$27,$H264='Auto Responses'!$J$7),1,IF(AND($D264='Auto Responses'!$J$27,$H264='Auto Responses'!$J$8),0,IF(OR(AND($F264=$G264,$H264=""),$H264='Auto Responses'!$J$7),1,0)))))</f>
        <v>1</v>
      </c>
      <c r="M264" s="315" t="str">
        <f>VLOOKUP($A264,'Privacy Analyst Evaluation'!$A$46:$K$120,11,0)&amp;""</f>
        <v>FALSCH</v>
      </c>
      <c r="N264" s="315">
        <f>IF($J264='Auto Responses'!$J$11,1,IF(AND($J264="",$I264='Auto Responses'!$J$11),1,0))</f>
        <v>0</v>
      </c>
      <c r="O264" s="284">
        <f>IF(OR($E264='Auto Responses'!$L$13,$F$24='Auto Responses'!$J$4,$F264='Auto Responses'!$J$5),'Auto Responses'!$J$5,IF($J264="",$K264,IF($J264='Auto Responses'!$J$13,5,IF($J264='Auto Responses'!$J$12,10,IF($J264='Auto Responses'!$J$11,20,0)))))</f>
        <v>10</v>
      </c>
      <c r="P264" s="284">
        <f>IF(OR($O264='Auto Responses'!$J$5,$L264='Auto Responses'!$J$5),'Auto Responses'!$J$5,$O264*$L264)</f>
        <v>10</v>
      </c>
      <c r="Q264" s="284">
        <f t="shared" si="29"/>
        <v>0</v>
      </c>
      <c r="R264" s="284">
        <f t="shared" si="33"/>
        <v>0</v>
      </c>
      <c r="S264" s="284">
        <f t="shared" si="30"/>
        <v>0</v>
      </c>
      <c r="T264" s="284">
        <f t="shared" si="31"/>
        <v>0</v>
      </c>
      <c r="U264" s="284">
        <f t="shared" si="34"/>
        <v>67</v>
      </c>
      <c r="V264" s="284">
        <f t="shared" si="32"/>
        <v>0</v>
      </c>
    </row>
    <row r="265" spans="1:22" ht="55.5" customHeight="1" x14ac:dyDescent="0.2">
      <c r="A265" s="315" t="str">
        <f>Questions!$A265</f>
        <v>PRPO-04</v>
      </c>
      <c r="B265" s="315" t="str">
        <f t="shared" si="28"/>
        <v>PRPO</v>
      </c>
      <c r="C265" s="315" t="str">
        <f>VLOOKUP($A265,Questions!$A$3:$L$333,2,0)&amp;""</f>
        <v>Will you comply with the institution's policies regarding user privacy and data protection?</v>
      </c>
      <c r="D265" s="315" t="str">
        <f>VLOOKUP($A265,Questions!$A$3:$L$333,11,0)&amp;""</f>
        <v/>
      </c>
      <c r="E265" s="315" t="str">
        <f>VLOOKUP($A265,Questions!$A$3:$L$333,12,0)&amp;""</f>
        <v>Privacy</v>
      </c>
      <c r="F265" s="315" t="str">
        <f>VLOOKUP($A265,'Privacy Analyst Evaluation'!$A$46:$K$120,3,0)&amp;""</f>
        <v>Yes</v>
      </c>
      <c r="G265" s="315" t="str">
        <f>VLOOKUP($A265,'Privacy Analyst Evaluation'!$A$46:$K$120,7,0)&amp;""</f>
        <v>Yes</v>
      </c>
      <c r="H265" s="315" t="str">
        <f>VLOOKUP($A265,'Privacy Analyst Evaluation'!$A$46:$K$120,8,0)&amp;""</f>
        <v/>
      </c>
      <c r="I265" s="315" t="str">
        <f>VLOOKUP($A265,'Privacy Analyst Evaluation'!$A$46:$K$120,9,0)&amp;""</f>
        <v>Minor Importance</v>
      </c>
      <c r="J265" s="315" t="str">
        <f>VLOOKUP($A265,'Privacy Analyst Evaluation'!$A$46:$K$120,10,0)&amp;""</f>
        <v/>
      </c>
      <c r="K265" s="315">
        <f>IF($I265='Auto Responses'!$J$11,20,IF($I265='Auto Responses'!$J$13,5,10))</f>
        <v>5</v>
      </c>
      <c r="L265" s="284">
        <f>IF($E265='Auto Responses'!$L$13, 'Auto Responses'!$J$5,IF(AND($D265='Auto Responses'!$J$27,$H265=""),'Auto Responses'!$J$5,IF(AND($D265='Auto Responses'!$J$27,$H265='Auto Responses'!$J$7),1,IF(AND($D265='Auto Responses'!$J$27,$H265='Auto Responses'!$J$8),0,IF(OR(AND($F265=$G265,$H265=""),$H265='Auto Responses'!$J$7),1,0)))))</f>
        <v>1</v>
      </c>
      <c r="M265" s="315" t="str">
        <f>VLOOKUP($A265,'Privacy Analyst Evaluation'!$A$46:$K$120,11,0)&amp;""</f>
        <v>FALSCH</v>
      </c>
      <c r="N265" s="315">
        <f>IF($J265='Auto Responses'!$J$11,1,IF(AND($J265="",$I265='Auto Responses'!$J$11),1,0))</f>
        <v>0</v>
      </c>
      <c r="O265" s="284">
        <f>IF(OR($E265='Auto Responses'!$L$13,$F$24='Auto Responses'!$J$4,$F265='Auto Responses'!$J$5),'Auto Responses'!$J$5,IF($J265="",$K265,IF($J265='Auto Responses'!$J$13,5,IF($J265='Auto Responses'!$J$12,10,IF($J265='Auto Responses'!$J$11,20,0)))))</f>
        <v>5</v>
      </c>
      <c r="P265" s="284">
        <f>IF(OR($O265='Auto Responses'!$J$5,$L265='Auto Responses'!$J$5),'Auto Responses'!$J$5,$O265*$L265)</f>
        <v>5</v>
      </c>
      <c r="Q265" s="284">
        <f t="shared" si="29"/>
        <v>0</v>
      </c>
      <c r="R265" s="284">
        <f t="shared" si="33"/>
        <v>0</v>
      </c>
      <c r="S265" s="284">
        <f t="shared" si="30"/>
        <v>0</v>
      </c>
      <c r="T265" s="284">
        <f t="shared" si="31"/>
        <v>0</v>
      </c>
      <c r="U265" s="284">
        <f t="shared" si="34"/>
        <v>67</v>
      </c>
      <c r="V265" s="284">
        <f t="shared" si="32"/>
        <v>0</v>
      </c>
    </row>
    <row r="266" spans="1:22" ht="55.5" customHeight="1" x14ac:dyDescent="0.2">
      <c r="A266" s="315" t="str">
        <f>Questions!$A266</f>
        <v>PRPO-05</v>
      </c>
      <c r="B266" s="315" t="str">
        <f t="shared" si="28"/>
        <v>PRPO</v>
      </c>
      <c r="C266" s="315" t="str">
        <f>VLOOKUP($A266,Questions!$A$3:$L$333,2,0)&amp;""</f>
        <v>Is your company subject to the laws and regulations of the institution's geographic region?</v>
      </c>
      <c r="D266" s="315" t="str">
        <f>VLOOKUP($A266,Questions!$A$3:$L$333,11,0)&amp;""</f>
        <v/>
      </c>
      <c r="E266" s="315" t="str">
        <f>VLOOKUP($A266,Questions!$A$3:$L$333,12,0)&amp;""</f>
        <v>Privacy</v>
      </c>
      <c r="F266" s="315" t="str">
        <f>VLOOKUP($A266,'Privacy Analyst Evaluation'!$A$46:$K$120,3,0)&amp;""</f>
        <v>Yes</v>
      </c>
      <c r="G266" s="315" t="str">
        <f>VLOOKUP($A266,'Privacy Analyst Evaluation'!$A$46:$K$120,7,0)&amp;""</f>
        <v>Yes</v>
      </c>
      <c r="H266" s="315" t="str">
        <f>VLOOKUP($A266,'Privacy Analyst Evaluation'!$A$46:$K$120,8,0)&amp;""</f>
        <v/>
      </c>
      <c r="I266" s="315" t="str">
        <f>VLOOKUP($A266,'Privacy Analyst Evaluation'!$A$46:$K$120,9,0)&amp;""</f>
        <v>Minor Importance</v>
      </c>
      <c r="J266" s="315" t="str">
        <f>VLOOKUP($A266,'Privacy Analyst Evaluation'!$A$46:$K$120,10,0)&amp;""</f>
        <v/>
      </c>
      <c r="K266" s="315">
        <f>IF($I266='Auto Responses'!$J$11,20,IF($I266='Auto Responses'!$J$13,5,10))</f>
        <v>5</v>
      </c>
      <c r="L266" s="284">
        <f>IF($E266='Auto Responses'!$L$13, 'Auto Responses'!$J$5,IF(AND($D266='Auto Responses'!$J$27,$H266=""),'Auto Responses'!$J$5,IF(AND($D266='Auto Responses'!$J$27,$H266='Auto Responses'!$J$7),1,IF(AND($D266='Auto Responses'!$J$27,$H266='Auto Responses'!$J$8),0,IF(OR(AND($F266=$G266,$H266=""),$H266='Auto Responses'!$J$7),1,0)))))</f>
        <v>1</v>
      </c>
      <c r="M266" s="315" t="str">
        <f>VLOOKUP($A266,'Privacy Analyst Evaluation'!$A$46:$K$120,11,0)&amp;""</f>
        <v>FALSCH</v>
      </c>
      <c r="N266" s="315">
        <f>IF($J266='Auto Responses'!$J$11,1,IF(AND($J266="",$I266='Auto Responses'!$J$11),1,0))</f>
        <v>0</v>
      </c>
      <c r="O266" s="284">
        <f>IF(OR($E266='Auto Responses'!$L$13,$F$24='Auto Responses'!$J$4,$F266='Auto Responses'!$J$5),'Auto Responses'!$J$5,IF($J266="",$K266,IF($J266='Auto Responses'!$J$13,5,IF($J266='Auto Responses'!$J$12,10,IF($J266='Auto Responses'!$J$11,20,0)))))</f>
        <v>5</v>
      </c>
      <c r="P266" s="284">
        <f>IF(OR($O266='Auto Responses'!$J$5,$L266='Auto Responses'!$J$5),'Auto Responses'!$J$5,$O266*$L266)</f>
        <v>5</v>
      </c>
      <c r="Q266" s="284">
        <f t="shared" si="29"/>
        <v>0</v>
      </c>
      <c r="R266" s="284">
        <f t="shared" si="33"/>
        <v>0</v>
      </c>
      <c r="S266" s="284">
        <f t="shared" si="30"/>
        <v>0</v>
      </c>
      <c r="T266" s="284">
        <f t="shared" si="31"/>
        <v>0</v>
      </c>
      <c r="U266" s="284">
        <f t="shared" si="34"/>
        <v>67</v>
      </c>
      <c r="V266" s="284">
        <f t="shared" si="32"/>
        <v>0</v>
      </c>
    </row>
    <row r="267" spans="1:22" ht="55.5" customHeight="1" x14ac:dyDescent="0.2">
      <c r="A267" s="315" t="str">
        <f>Questions!$A267</f>
        <v>PRPO-06</v>
      </c>
      <c r="B267" s="315" t="str">
        <f t="shared" si="28"/>
        <v>PRPO</v>
      </c>
      <c r="C267" s="315" t="str">
        <f>VLOOKUP($A267,Questions!$A$3:$L$333,2,0)&amp;""</f>
        <v>Do you have a privacy awareness/training program?*</v>
      </c>
      <c r="D267" s="315" t="str">
        <f>VLOOKUP($A267,Questions!$A$3:$L$333,11,0)&amp;""</f>
        <v/>
      </c>
      <c r="E267" s="315" t="str">
        <f>VLOOKUP($A267,Questions!$A$3:$L$333,12,0)&amp;""</f>
        <v>Privacy</v>
      </c>
      <c r="F267" s="315" t="str">
        <f>VLOOKUP($A267,'Privacy Analyst Evaluation'!$A$46:$K$120,3,0)&amp;""</f>
        <v>No</v>
      </c>
      <c r="G267" s="315" t="str">
        <f>VLOOKUP($A267,'Privacy Analyst Evaluation'!$A$46:$K$120,7,0)&amp;""</f>
        <v>Yes</v>
      </c>
      <c r="H267" s="315" t="str">
        <f>VLOOKUP($A267,'Privacy Analyst Evaluation'!$A$46:$K$120,8,0)&amp;""</f>
        <v/>
      </c>
      <c r="I267" s="315" t="str">
        <f>VLOOKUP($A267,'Privacy Analyst Evaluation'!$A$46:$K$120,9,0)&amp;""</f>
        <v>Critical Importance</v>
      </c>
      <c r="J267" s="315" t="str">
        <f>VLOOKUP($A267,'Privacy Analyst Evaluation'!$A$46:$K$120,10,0)&amp;""</f>
        <v/>
      </c>
      <c r="K267" s="315">
        <f>IF($I267='Auto Responses'!$J$11,20,IF($I267='Auto Responses'!$J$13,5,10))</f>
        <v>20</v>
      </c>
      <c r="L267" s="284">
        <f>IF($E267='Auto Responses'!$L$13, 'Auto Responses'!$J$5,IF(AND($D267='Auto Responses'!$J$27,$H267=""),'Auto Responses'!$J$5,IF(AND($D267='Auto Responses'!$J$27,$H267='Auto Responses'!$J$7),1,IF(AND($D267='Auto Responses'!$J$27,$H267='Auto Responses'!$J$8),0,IF(OR(AND($F267=$G267,$H267=""),$H267='Auto Responses'!$J$7),1,0)))))</f>
        <v>0</v>
      </c>
      <c r="M267" s="315" t="str">
        <f>VLOOKUP($A267,'Privacy Analyst Evaluation'!$A$46:$K$120,11,0)&amp;""</f>
        <v>FALSCH</v>
      </c>
      <c r="N267" s="315">
        <f>IF($J267='Auto Responses'!$J$11,1,IF(AND($J267="",$I267='Auto Responses'!$J$11),1,0))</f>
        <v>1</v>
      </c>
      <c r="O267" s="284">
        <f>IF(OR($E267='Auto Responses'!$L$13,$F$24='Auto Responses'!$J$4,$F267='Auto Responses'!$J$5),'Auto Responses'!$J$5,IF($J267="",$K267,IF($J267='Auto Responses'!$J$13,5,IF($J267='Auto Responses'!$J$12,10,IF($J267='Auto Responses'!$J$11,20,0)))))</f>
        <v>20</v>
      </c>
      <c r="P267" s="284">
        <f>IF(OR($O267='Auto Responses'!$J$5,$L267='Auto Responses'!$J$5),'Auto Responses'!$J$5,$O267*$L267)</f>
        <v>0</v>
      </c>
      <c r="Q267" s="284">
        <f t="shared" si="29"/>
        <v>0</v>
      </c>
      <c r="R267" s="284">
        <f t="shared" si="33"/>
        <v>0</v>
      </c>
      <c r="S267" s="284">
        <f t="shared" si="30"/>
        <v>0</v>
      </c>
      <c r="T267" s="284">
        <f t="shared" si="31"/>
        <v>1</v>
      </c>
      <c r="U267" s="284">
        <f t="shared" si="34"/>
        <v>68</v>
      </c>
      <c r="V267" s="284">
        <f t="shared" si="32"/>
        <v>68</v>
      </c>
    </row>
    <row r="268" spans="1:22" ht="55.5" customHeight="1" x14ac:dyDescent="0.2">
      <c r="A268" s="315" t="str">
        <f>Questions!$A268</f>
        <v>PRPO-07</v>
      </c>
      <c r="B268" s="315" t="str">
        <f t="shared" si="28"/>
        <v>PRPO</v>
      </c>
      <c r="C268" s="315" t="str">
        <f>VLOOKUP($A268,Questions!$A$3:$L$333,2,0)&amp;""</f>
        <v>Is privacy awareness training mandatory for all employees?</v>
      </c>
      <c r="D268" s="315" t="str">
        <f>VLOOKUP($A268,Questions!$A$3:$L$333,11,0)&amp;""</f>
        <v/>
      </c>
      <c r="E268" s="315" t="str">
        <f>VLOOKUP($A268,Questions!$A$3:$L$333,12,0)&amp;""</f>
        <v>Privacy</v>
      </c>
      <c r="F268" s="315" t="str">
        <f>VLOOKUP($A268,'Privacy Analyst Evaluation'!$A$46:$K$120,3,0)&amp;""</f>
        <v>No</v>
      </c>
      <c r="G268" s="315" t="str">
        <f>VLOOKUP($A268,'Privacy Analyst Evaluation'!$A$46:$K$120,7,0)&amp;""</f>
        <v>Yes</v>
      </c>
      <c r="H268" s="315" t="str">
        <f>VLOOKUP($A268,'Privacy Analyst Evaluation'!$A$46:$K$120,8,0)&amp;""</f>
        <v/>
      </c>
      <c r="I268" s="315" t="str">
        <f>VLOOKUP($A268,'Privacy Analyst Evaluation'!$A$46:$K$120,9,0)&amp;""</f>
        <v>Minor Importance</v>
      </c>
      <c r="J268" s="315" t="str">
        <f>VLOOKUP($A268,'Privacy Analyst Evaluation'!$A$46:$K$120,10,0)&amp;""</f>
        <v/>
      </c>
      <c r="K268" s="315">
        <f>IF($I268='Auto Responses'!$J$11,20,IF($I268='Auto Responses'!$J$13,5,10))</f>
        <v>5</v>
      </c>
      <c r="L268" s="284">
        <f>IF($E268='Auto Responses'!$L$13, 'Auto Responses'!$J$5,IF(AND($D268='Auto Responses'!$J$27,$H268=""),'Auto Responses'!$J$5,IF(AND($D268='Auto Responses'!$J$27,$H268='Auto Responses'!$J$7),1,IF(AND($D268='Auto Responses'!$J$27,$H268='Auto Responses'!$J$8),0,IF(OR(AND($F268=$G268,$H268=""),$H268='Auto Responses'!$J$7),1,0)))))</f>
        <v>0</v>
      </c>
      <c r="M268" s="315" t="str">
        <f>VLOOKUP($A268,'Privacy Analyst Evaluation'!$A$46:$K$120,11,0)&amp;""</f>
        <v>FALSCH</v>
      </c>
      <c r="N268" s="315">
        <f>IF($J268='Auto Responses'!$J$11,1,IF(AND($J268="",$I268='Auto Responses'!$J$11),1,0))</f>
        <v>0</v>
      </c>
      <c r="O268" s="284">
        <f>IF(OR($E268='Auto Responses'!$L$13,$F$24='Auto Responses'!$J$4,$F268='Auto Responses'!$J$5),'Auto Responses'!$J$5,IF($J268="",$K268,IF($J268='Auto Responses'!$J$13,5,IF($J268='Auto Responses'!$J$12,10,IF($J268='Auto Responses'!$J$11,20,0)))))</f>
        <v>5</v>
      </c>
      <c r="P268" s="284">
        <f>IF(OR($O268='Auto Responses'!$J$5,$L268='Auto Responses'!$J$5),'Auto Responses'!$J$5,$O268*$L268)</f>
        <v>0</v>
      </c>
      <c r="Q268" s="284">
        <f t="shared" si="29"/>
        <v>0</v>
      </c>
      <c r="R268" s="284">
        <f t="shared" si="33"/>
        <v>0</v>
      </c>
      <c r="S268" s="284">
        <f t="shared" si="30"/>
        <v>0</v>
      </c>
      <c r="T268" s="284">
        <f t="shared" si="31"/>
        <v>0</v>
      </c>
      <c r="U268" s="284">
        <f t="shared" si="34"/>
        <v>68</v>
      </c>
      <c r="V268" s="284">
        <f t="shared" si="32"/>
        <v>0</v>
      </c>
    </row>
    <row r="269" spans="1:22" ht="55.5" customHeight="1" x14ac:dyDescent="0.2">
      <c r="A269" s="315" t="str">
        <f>Questions!$A269</f>
        <v>PRPO-08</v>
      </c>
      <c r="B269" s="315" t="str">
        <f t="shared" si="28"/>
        <v>PRPO</v>
      </c>
      <c r="C269" s="315" t="str">
        <f>VLOOKUP($A269,Questions!$A$3:$L$333,2,0)&amp;""</f>
        <v>Is AI privacy and ethics awareness/training required for all employees who work with AI?</v>
      </c>
      <c r="D269" s="315" t="str">
        <f>VLOOKUP($A269,Questions!$A$3:$L$333,11,0)&amp;""</f>
        <v/>
      </c>
      <c r="E269" s="315" t="str">
        <f>VLOOKUP($A269,Questions!$A$3:$L$333,12,0)&amp;""</f>
        <v>Privacy</v>
      </c>
      <c r="F269" s="315" t="str">
        <f>VLOOKUP($A269,'Privacy Analyst Evaluation'!$A$46:$K$120,3,0)&amp;""</f>
        <v>N/A</v>
      </c>
      <c r="G269" s="315" t="str">
        <f>VLOOKUP($A269,'Privacy Analyst Evaluation'!$A$46:$K$120,7,0)&amp;""</f>
        <v>Yes</v>
      </c>
      <c r="H269" s="315" t="str">
        <f>VLOOKUP($A269,'Privacy Analyst Evaluation'!$A$46:$K$120,8,0)&amp;""</f>
        <v/>
      </c>
      <c r="I269" s="315" t="str">
        <f>VLOOKUP($A269,'Privacy Analyst Evaluation'!$A$46:$K$120,9,0)&amp;""</f>
        <v>Minor Importance</v>
      </c>
      <c r="J269" s="315" t="str">
        <f>VLOOKUP($A269,'Privacy Analyst Evaluation'!$A$46:$K$120,10,0)&amp;""</f>
        <v/>
      </c>
      <c r="K269" s="315">
        <f>IF($I269='Auto Responses'!$J$11,20,IF($I269='Auto Responses'!$J$13,5,10))</f>
        <v>5</v>
      </c>
      <c r="L269" s="284">
        <f>IF($E269='Auto Responses'!$L$13, 'Auto Responses'!$J$5,IF(AND($D269='Auto Responses'!$J$27,$H269=""),'Auto Responses'!$J$5,IF(AND($D269='Auto Responses'!$J$27,$H269='Auto Responses'!$J$7),1,IF(AND($D269='Auto Responses'!$J$27,$H269='Auto Responses'!$J$8),0,IF(OR(AND($F269=$G269,$H269=""),$H269='Auto Responses'!$J$7),1,0)))))</f>
        <v>0</v>
      </c>
      <c r="M269" s="315" t="str">
        <f>VLOOKUP($A269,'Privacy Analyst Evaluation'!$A$46:$K$120,11,0)&amp;""</f>
        <v>FALSCH</v>
      </c>
      <c r="N269" s="315">
        <f>IF($J269='Auto Responses'!$J$11,1,IF(AND($J269="",$I269='Auto Responses'!$J$11),1,0))</f>
        <v>0</v>
      </c>
      <c r="O269" s="284" t="str">
        <f>IF(OR($E269='Auto Responses'!$L$13,$F$24='Auto Responses'!$J$4,$F269='Auto Responses'!$J$5),'Auto Responses'!$J$5,IF($J269="",$K269,IF($J269='Auto Responses'!$J$13,5,IF($J269='Auto Responses'!$J$12,10,IF($J269='Auto Responses'!$J$11,20,0)))))</f>
        <v>N/A</v>
      </c>
      <c r="P269" s="284" t="str">
        <f>IF(OR($O269='Auto Responses'!$J$5,$L269='Auto Responses'!$J$5),'Auto Responses'!$J$5,$O269*$L269)</f>
        <v>N/A</v>
      </c>
      <c r="Q269" s="284">
        <f t="shared" si="29"/>
        <v>0</v>
      </c>
      <c r="R269" s="284">
        <f t="shared" si="33"/>
        <v>0</v>
      </c>
      <c r="S269" s="284">
        <f t="shared" si="30"/>
        <v>0</v>
      </c>
      <c r="T269" s="284">
        <f t="shared" si="31"/>
        <v>0</v>
      </c>
      <c r="U269" s="284">
        <f t="shared" si="34"/>
        <v>68</v>
      </c>
      <c r="V269" s="284">
        <f t="shared" si="32"/>
        <v>0</v>
      </c>
    </row>
    <row r="270" spans="1:22" ht="55.5" customHeight="1" x14ac:dyDescent="0.2">
      <c r="A270" s="315" t="str">
        <f>Questions!$A270</f>
        <v>PRPO-09</v>
      </c>
      <c r="B270" s="315" t="str">
        <f t="shared" si="28"/>
        <v>PRPO</v>
      </c>
      <c r="C270" s="315" t="str">
        <f>VLOOKUP($A270,Questions!$A$3:$L$333,2,0)&amp;""</f>
        <v>Do you have any decision-making processes that are completely automated (i.e., there is no human involvement)?</v>
      </c>
      <c r="D270" s="315" t="str">
        <f>VLOOKUP($A270,Questions!$A$3:$L$333,11,0)&amp;""</f>
        <v/>
      </c>
      <c r="E270" s="315" t="str">
        <f>VLOOKUP($A270,Questions!$A$3:$L$333,12,0)&amp;""</f>
        <v>Privacy</v>
      </c>
      <c r="F270" s="315" t="str">
        <f>VLOOKUP($A270,'Privacy Analyst Evaluation'!$A$46:$K$120,3,0)&amp;""</f>
        <v>No</v>
      </c>
      <c r="G270" s="315" t="str">
        <f>VLOOKUP($A270,'Privacy Analyst Evaluation'!$A$46:$K$120,7,0)&amp;""</f>
        <v>No</v>
      </c>
      <c r="H270" s="315" t="str">
        <f>VLOOKUP($A270,'Privacy Analyst Evaluation'!$A$46:$K$120,8,0)&amp;""</f>
        <v/>
      </c>
      <c r="I270" s="315" t="str">
        <f>VLOOKUP($A270,'Privacy Analyst Evaluation'!$A$46:$K$120,9,0)&amp;""</f>
        <v>Minor Importance</v>
      </c>
      <c r="J270" s="315" t="str">
        <f>VLOOKUP($A270,'Privacy Analyst Evaluation'!$A$46:$K$120,10,0)&amp;""</f>
        <v/>
      </c>
      <c r="K270" s="315">
        <f>IF($I270='Auto Responses'!$J$11,20,IF($I270='Auto Responses'!$J$13,5,10))</f>
        <v>5</v>
      </c>
      <c r="L270" s="284">
        <f>IF($E270='Auto Responses'!$L$13, 'Auto Responses'!$J$5,IF(AND($D270='Auto Responses'!$J$27,$H270=""),'Auto Responses'!$J$5,IF(AND($D270='Auto Responses'!$J$27,$H270='Auto Responses'!$J$7),1,IF(AND($D270='Auto Responses'!$J$27,$H270='Auto Responses'!$J$8),0,IF(OR(AND($F270=$G270,$H270=""),$H270='Auto Responses'!$J$7),1,0)))))</f>
        <v>1</v>
      </c>
      <c r="M270" s="315" t="str">
        <f>VLOOKUP($A270,'Privacy Analyst Evaluation'!$A$46:$K$120,11,0)&amp;""</f>
        <v>FALSCH</v>
      </c>
      <c r="N270" s="315">
        <f>IF($J270='Auto Responses'!$J$11,1,IF(AND($J270="",$I270='Auto Responses'!$J$11),1,0))</f>
        <v>0</v>
      </c>
      <c r="O270" s="284">
        <f>IF(OR($E270='Auto Responses'!$L$13,$F$24='Auto Responses'!$J$4,$F270='Auto Responses'!$J$5),'Auto Responses'!$J$5,IF($J270="",$K270,IF($J270='Auto Responses'!$J$13,5,IF($J270='Auto Responses'!$J$12,10,IF($J270='Auto Responses'!$J$11,20,0)))))</f>
        <v>5</v>
      </c>
      <c r="P270" s="284">
        <f>IF(OR($O270='Auto Responses'!$J$5,$L270='Auto Responses'!$J$5),'Auto Responses'!$J$5,$O270*$L270)</f>
        <v>5</v>
      </c>
      <c r="Q270" s="284">
        <f t="shared" si="29"/>
        <v>0</v>
      </c>
      <c r="R270" s="284">
        <f t="shared" si="33"/>
        <v>0</v>
      </c>
      <c r="S270" s="284">
        <f t="shared" si="30"/>
        <v>0</v>
      </c>
      <c r="T270" s="284">
        <f t="shared" si="31"/>
        <v>0</v>
      </c>
      <c r="U270" s="284">
        <f t="shared" si="34"/>
        <v>68</v>
      </c>
      <c r="V270" s="284">
        <f t="shared" si="32"/>
        <v>0</v>
      </c>
    </row>
    <row r="271" spans="1:22" ht="55.5" customHeight="1" x14ac:dyDescent="0.2">
      <c r="A271" s="315" t="str">
        <f>Questions!$A271</f>
        <v>PRPO-10</v>
      </c>
      <c r="B271" s="315" t="str">
        <f t="shared" si="28"/>
        <v>PRPO</v>
      </c>
      <c r="C271" s="315" t="str">
        <f>VLOOKUP($A271,Questions!$A$3:$L$333,2,0)&amp;""</f>
        <v>Do you have a documented process for managing automated processing, including validations, monitoring, and data subject requests?</v>
      </c>
      <c r="D271" s="315" t="str">
        <f>VLOOKUP($A271,Questions!$A$3:$L$333,11,0)&amp;""</f>
        <v/>
      </c>
      <c r="E271" s="315" t="str">
        <f>VLOOKUP($A271,Questions!$A$3:$L$333,12,0)&amp;""</f>
        <v>Privacy</v>
      </c>
      <c r="F271" s="315" t="str">
        <f>VLOOKUP($A271,'Privacy Analyst Evaluation'!$A$46:$K$120,3,0)&amp;""</f>
        <v>No</v>
      </c>
      <c r="G271" s="315" t="str">
        <f>VLOOKUP($A271,'Privacy Analyst Evaluation'!$A$46:$K$120,7,0)&amp;""</f>
        <v>Yes</v>
      </c>
      <c r="H271" s="315" t="str">
        <f>VLOOKUP($A271,'Privacy Analyst Evaluation'!$A$46:$K$120,8,0)&amp;""</f>
        <v/>
      </c>
      <c r="I271" s="315" t="str">
        <f>VLOOKUP($A271,'Privacy Analyst Evaluation'!$A$46:$K$120,9,0)&amp;""</f>
        <v>Minor Importance</v>
      </c>
      <c r="J271" s="315" t="str">
        <f>VLOOKUP($A271,'Privacy Analyst Evaluation'!$A$46:$K$120,10,0)&amp;""</f>
        <v/>
      </c>
      <c r="K271" s="315">
        <f>IF($I271='Auto Responses'!$J$11,20,IF($I271='Auto Responses'!$J$13,5,10))</f>
        <v>5</v>
      </c>
      <c r="L271" s="284">
        <f>IF($E271='Auto Responses'!$L$13, 'Auto Responses'!$J$5,IF(AND($D271='Auto Responses'!$J$27,$H271=""),'Auto Responses'!$J$5,IF(AND($D271='Auto Responses'!$J$27,$H271='Auto Responses'!$J$7),1,IF(AND($D271='Auto Responses'!$J$27,$H271='Auto Responses'!$J$8),0,IF(OR(AND($F271=$G271,$H271=""),$H271='Auto Responses'!$J$7),1,0)))))</f>
        <v>0</v>
      </c>
      <c r="M271" s="315" t="str">
        <f>VLOOKUP($A271,'Privacy Analyst Evaluation'!$A$46:$K$120,11,0)&amp;""</f>
        <v>FALSCH</v>
      </c>
      <c r="N271" s="315">
        <f>IF($J271='Auto Responses'!$J$11,1,IF(AND($J271="",$I271='Auto Responses'!$J$11),1,0))</f>
        <v>0</v>
      </c>
      <c r="O271" s="284">
        <f>IF(OR($E271='Auto Responses'!$L$13,$F$24='Auto Responses'!$J$4,$F271='Auto Responses'!$J$5),'Auto Responses'!$J$5,IF($J271="",$K271,IF($J271='Auto Responses'!$J$13,5,IF($J271='Auto Responses'!$J$12,10,IF($J271='Auto Responses'!$J$11,20,0)))))</f>
        <v>5</v>
      </c>
      <c r="P271" s="284">
        <f>IF(OR($O271='Auto Responses'!$J$5,$L271='Auto Responses'!$J$5),'Auto Responses'!$J$5,$O271*$L271)</f>
        <v>0</v>
      </c>
      <c r="Q271" s="284">
        <f t="shared" si="29"/>
        <v>0</v>
      </c>
      <c r="R271" s="284">
        <f t="shared" si="33"/>
        <v>0</v>
      </c>
      <c r="S271" s="284">
        <f t="shared" si="30"/>
        <v>0</v>
      </c>
      <c r="T271" s="284">
        <f t="shared" si="31"/>
        <v>0</v>
      </c>
      <c r="U271" s="284">
        <f t="shared" si="34"/>
        <v>68</v>
      </c>
      <c r="V271" s="284">
        <f t="shared" si="32"/>
        <v>0</v>
      </c>
    </row>
    <row r="272" spans="1:22" ht="55.5" customHeight="1" x14ac:dyDescent="0.2">
      <c r="A272" s="315" t="str">
        <f>Questions!$A272</f>
        <v>PRPO-11</v>
      </c>
      <c r="B272" s="315" t="str">
        <f t="shared" si="28"/>
        <v>PRPO</v>
      </c>
      <c r="C272" s="315" t="str">
        <f>VLOOKUP($A272,Questions!$A$3:$L$333,2,0)&amp;""</f>
        <v>Do you have a documented policy for sharing information with law enforcement?</v>
      </c>
      <c r="D272" s="315" t="str">
        <f>VLOOKUP($A272,Questions!$A$3:$L$333,11,0)&amp;""</f>
        <v/>
      </c>
      <c r="E272" s="315" t="str">
        <f>VLOOKUP($A272,Questions!$A$3:$L$333,12,0)&amp;""</f>
        <v>Privacy</v>
      </c>
      <c r="F272" s="315" t="str">
        <f>VLOOKUP($A272,'Privacy Analyst Evaluation'!$A$46:$K$120,3,0)&amp;""</f>
        <v>No</v>
      </c>
      <c r="G272" s="315" t="str">
        <f>VLOOKUP($A272,'Privacy Analyst Evaluation'!$A$46:$K$120,7,0)&amp;""</f>
        <v>Yes</v>
      </c>
      <c r="H272" s="315" t="str">
        <f>VLOOKUP($A272,'Privacy Analyst Evaluation'!$A$46:$K$120,8,0)&amp;""</f>
        <v/>
      </c>
      <c r="I272" s="315" t="str">
        <f>VLOOKUP($A272,'Privacy Analyst Evaluation'!$A$46:$K$120,9,0)&amp;""</f>
        <v>Minor Importance</v>
      </c>
      <c r="J272" s="315" t="str">
        <f>VLOOKUP($A272,'Privacy Analyst Evaluation'!$A$46:$K$120,10,0)&amp;""</f>
        <v/>
      </c>
      <c r="K272" s="315">
        <f>IF($I272='Auto Responses'!$J$11,20,IF($I272='Auto Responses'!$J$13,5,10))</f>
        <v>5</v>
      </c>
      <c r="L272" s="284">
        <f>IF($E272='Auto Responses'!$L$13, 'Auto Responses'!$J$5,IF(AND($D272='Auto Responses'!$J$27,$H272=""),'Auto Responses'!$J$5,IF(AND($D272='Auto Responses'!$J$27,$H272='Auto Responses'!$J$7),1,IF(AND($D272='Auto Responses'!$J$27,$H272='Auto Responses'!$J$8),0,IF(OR(AND($F272=$G272,$H272=""),$H272='Auto Responses'!$J$7),1,0)))))</f>
        <v>0</v>
      </c>
      <c r="M272" s="315" t="str">
        <f>VLOOKUP($A272,'Privacy Analyst Evaluation'!$A$46:$K$120,11,0)&amp;""</f>
        <v>FALSCH</v>
      </c>
      <c r="N272" s="315">
        <f>IF($J272='Auto Responses'!$J$11,1,IF(AND($J272="",$I272='Auto Responses'!$J$11),1,0))</f>
        <v>0</v>
      </c>
      <c r="O272" s="284">
        <f>IF(OR($E272='Auto Responses'!$L$13,$F$24='Auto Responses'!$J$4,$F272='Auto Responses'!$J$5),'Auto Responses'!$J$5,IF($J272="",$K272,IF($J272='Auto Responses'!$J$13,5,IF($J272='Auto Responses'!$J$12,10,IF($J272='Auto Responses'!$J$11,20,0)))))</f>
        <v>5</v>
      </c>
      <c r="P272" s="284">
        <f>IF(OR($O272='Auto Responses'!$J$5,$L272='Auto Responses'!$J$5),'Auto Responses'!$J$5,$O272*$L272)</f>
        <v>0</v>
      </c>
      <c r="Q272" s="284">
        <f t="shared" si="29"/>
        <v>0</v>
      </c>
      <c r="R272" s="284">
        <f t="shared" si="33"/>
        <v>0</v>
      </c>
      <c r="S272" s="284">
        <f t="shared" si="30"/>
        <v>0</v>
      </c>
      <c r="T272" s="284">
        <f t="shared" si="31"/>
        <v>0</v>
      </c>
      <c r="U272" s="284">
        <f t="shared" si="34"/>
        <v>68</v>
      </c>
      <c r="V272" s="284">
        <f t="shared" si="32"/>
        <v>0</v>
      </c>
    </row>
    <row r="273" spans="1:22" ht="55.5" customHeight="1" x14ac:dyDescent="0.2">
      <c r="A273" s="315" t="str">
        <f>Questions!$A273</f>
        <v>PRPO-12</v>
      </c>
      <c r="B273" s="315" t="str">
        <f t="shared" si="28"/>
        <v>PRPO</v>
      </c>
      <c r="C273" s="315" t="str">
        <f>VLOOKUP($A273,Questions!$A$3:$L$333,2,0)&amp;""</f>
        <v>Do you share any institutional data with law enforcement without a valid warrant or subpoena?*</v>
      </c>
      <c r="D273" s="315" t="str">
        <f>VLOOKUP($A273,Questions!$A$3:$L$333,11,0)&amp;""</f>
        <v/>
      </c>
      <c r="E273" s="315" t="str">
        <f>VLOOKUP($A273,Questions!$A$3:$L$333,12,0)&amp;""</f>
        <v>Privacy</v>
      </c>
      <c r="F273" s="315" t="str">
        <f>VLOOKUP($A273,'Privacy Analyst Evaluation'!$A$46:$K$120,3,0)&amp;""</f>
        <v>No</v>
      </c>
      <c r="G273" s="315" t="str">
        <f>VLOOKUP($A273,'Privacy Analyst Evaluation'!$A$46:$K$120,7,0)&amp;""</f>
        <v>No</v>
      </c>
      <c r="H273" s="315" t="str">
        <f>VLOOKUP($A273,'Privacy Analyst Evaluation'!$A$46:$K$120,8,0)&amp;""</f>
        <v/>
      </c>
      <c r="I273" s="315" t="str">
        <f>VLOOKUP($A273,'Privacy Analyst Evaluation'!$A$46:$K$120,9,0)&amp;""</f>
        <v>Critical Importance</v>
      </c>
      <c r="J273" s="315" t="str">
        <f>VLOOKUP($A273,'Privacy Analyst Evaluation'!$A$46:$K$120,10,0)&amp;""</f>
        <v/>
      </c>
      <c r="K273" s="315">
        <f>IF($I273='Auto Responses'!$J$11,20,IF($I273='Auto Responses'!$J$13,5,10))</f>
        <v>20</v>
      </c>
      <c r="L273" s="284">
        <f>IF($E273='Auto Responses'!$L$13, 'Auto Responses'!$J$5,IF(AND($D273='Auto Responses'!$J$27,$H273=""),'Auto Responses'!$J$5,IF(AND($D273='Auto Responses'!$J$27,$H273='Auto Responses'!$J$7),1,IF(AND($D273='Auto Responses'!$J$27,$H273='Auto Responses'!$J$8),0,IF(OR(AND($F273=$G273,$H273=""),$H273='Auto Responses'!$J$7),1,0)))))</f>
        <v>1</v>
      </c>
      <c r="M273" s="315" t="str">
        <f>VLOOKUP($A273,'Privacy Analyst Evaluation'!$A$46:$K$120,11,0)&amp;""</f>
        <v>FALSCH</v>
      </c>
      <c r="N273" s="315">
        <f>IF($J273='Auto Responses'!$J$11,1,IF(AND($J273="",$I273='Auto Responses'!$J$11),1,0))</f>
        <v>1</v>
      </c>
      <c r="O273" s="284">
        <f>IF(OR($E273='Auto Responses'!$L$13,$F$24='Auto Responses'!$J$4,$F273='Auto Responses'!$J$5),'Auto Responses'!$J$5,IF($J273="",$K273,IF($J273='Auto Responses'!$J$13,5,IF($J273='Auto Responses'!$J$12,10,IF($J273='Auto Responses'!$J$11,20,0)))))</f>
        <v>20</v>
      </c>
      <c r="P273" s="284">
        <f>IF(OR($O273='Auto Responses'!$J$5,$L273='Auto Responses'!$J$5),'Auto Responses'!$J$5,$O273*$L273)</f>
        <v>20</v>
      </c>
      <c r="Q273" s="284">
        <f t="shared" si="29"/>
        <v>0</v>
      </c>
      <c r="R273" s="284">
        <f t="shared" si="33"/>
        <v>0</v>
      </c>
      <c r="S273" s="284">
        <f t="shared" si="30"/>
        <v>0</v>
      </c>
      <c r="T273" s="284">
        <f t="shared" si="31"/>
        <v>1</v>
      </c>
      <c r="U273" s="284">
        <f t="shared" si="34"/>
        <v>69</v>
      </c>
      <c r="V273" s="284">
        <f t="shared" si="32"/>
        <v>69</v>
      </c>
    </row>
    <row r="274" spans="1:22" ht="55.5" customHeight="1" x14ac:dyDescent="0.2">
      <c r="A274" s="315" t="str">
        <f>Questions!$A274</f>
        <v>PRPO-13</v>
      </c>
      <c r="B274" s="315" t="str">
        <f t="shared" si="28"/>
        <v>PRPO</v>
      </c>
      <c r="C274" s="315" t="str">
        <f>VLOOKUP($A274,Questions!$A$3:$L$333,2,0)&amp;""</f>
        <v>Does your incident response team include a privacy analyst/officer?</v>
      </c>
      <c r="D274" s="315" t="str">
        <f>VLOOKUP($A274,Questions!$A$3:$L$333,11,0)&amp;""</f>
        <v/>
      </c>
      <c r="E274" s="315" t="str">
        <f>VLOOKUP($A274,Questions!$A$3:$L$333,12,0)&amp;""</f>
        <v>Privacy</v>
      </c>
      <c r="F274" s="315" t="str">
        <f>VLOOKUP($A274,'Privacy Analyst Evaluation'!$A$46:$K$120,3,0)&amp;""</f>
        <v>No</v>
      </c>
      <c r="G274" s="315" t="str">
        <f>VLOOKUP($A274,'Privacy Analyst Evaluation'!$A$46:$K$120,7,0)&amp;""</f>
        <v>Yes</v>
      </c>
      <c r="H274" s="315" t="str">
        <f>VLOOKUP($A274,'Privacy Analyst Evaluation'!$A$46:$K$120,8,0)&amp;""</f>
        <v/>
      </c>
      <c r="I274" s="315" t="str">
        <f>VLOOKUP($A274,'Privacy Analyst Evaluation'!$A$46:$K$120,9,0)&amp;""</f>
        <v>Minor Importance</v>
      </c>
      <c r="J274" s="315" t="str">
        <f>VLOOKUP($A274,'Privacy Analyst Evaluation'!$A$46:$K$120,10,0)&amp;""</f>
        <v/>
      </c>
      <c r="K274" s="315">
        <f>IF($I274='Auto Responses'!$J$11,20,IF($I274='Auto Responses'!$J$13,5,10))</f>
        <v>5</v>
      </c>
      <c r="L274" s="284">
        <f>IF($E274='Auto Responses'!$L$13, 'Auto Responses'!$J$5,IF(AND($D274='Auto Responses'!$J$27,$H274=""),'Auto Responses'!$J$5,IF(AND($D274='Auto Responses'!$J$27,$H274='Auto Responses'!$J$7),1,IF(AND($D274='Auto Responses'!$J$27,$H274='Auto Responses'!$J$8),0,IF(OR(AND($F274=$G274,$H274=""),$H274='Auto Responses'!$J$7),1,0)))))</f>
        <v>0</v>
      </c>
      <c r="M274" s="315" t="str">
        <f>VLOOKUP($A274,'Privacy Analyst Evaluation'!$A$46:$K$120,11,0)&amp;""</f>
        <v>FALSCH</v>
      </c>
      <c r="N274" s="315">
        <f>IF($J274='Auto Responses'!$J$11,1,IF(AND($J274="",$I274='Auto Responses'!$J$11),1,0))</f>
        <v>0</v>
      </c>
      <c r="O274" s="284">
        <f>IF(OR($E274='Auto Responses'!$L$13,$F$24='Auto Responses'!$J$4,$F274='Auto Responses'!$J$5),'Auto Responses'!$J$5,IF($J274="",$K274,IF($J274='Auto Responses'!$J$13,5,IF($J274='Auto Responses'!$J$12,10,IF($J274='Auto Responses'!$J$11,20,0)))))</f>
        <v>5</v>
      </c>
      <c r="P274" s="284">
        <f>IF(OR($O274='Auto Responses'!$J$5,$L274='Auto Responses'!$J$5),'Auto Responses'!$J$5,$O274*$L274)</f>
        <v>0</v>
      </c>
      <c r="Q274" s="284">
        <f t="shared" si="29"/>
        <v>0</v>
      </c>
      <c r="R274" s="284">
        <f t="shared" si="33"/>
        <v>0</v>
      </c>
      <c r="S274" s="284">
        <f t="shared" si="30"/>
        <v>0</v>
      </c>
      <c r="T274" s="284">
        <f t="shared" si="31"/>
        <v>0</v>
      </c>
      <c r="U274" s="284">
        <f t="shared" si="34"/>
        <v>69</v>
      </c>
      <c r="V274" s="284">
        <f t="shared" si="32"/>
        <v>0</v>
      </c>
    </row>
    <row r="275" spans="1:22" ht="55.5" customHeight="1" x14ac:dyDescent="0.2">
      <c r="A275" s="315" t="str">
        <f>Questions!$A275</f>
        <v>INTL-01</v>
      </c>
      <c r="B275" s="315" t="str">
        <f t="shared" si="28"/>
        <v>INTL</v>
      </c>
      <c r="C275" s="315" t="str">
        <f>VLOOKUP($A275,Questions!$A$3:$L$333,2,0)&amp;""</f>
        <v>Will data be collected from or processed in or stored in the European Economic Area (EEA)?</v>
      </c>
      <c r="D275" s="315" t="str">
        <f>VLOOKUP($A275,Questions!$A$3:$L$333,11,0)&amp;""</f>
        <v/>
      </c>
      <c r="E275" s="315" t="str">
        <f>VLOOKUP($A275,Questions!$A$3:$L$333,12,0)&amp;""</f>
        <v>Privacy</v>
      </c>
      <c r="F275" s="315" t="str">
        <f>VLOOKUP($A275,'Privacy Analyst Evaluation'!$A$46:$K$120,3,0)&amp;""</f>
        <v>Yes</v>
      </c>
      <c r="G275" s="315" t="str">
        <f>VLOOKUP($A275,'Privacy Analyst Evaluation'!$A$46:$K$120,7,0)&amp;""</f>
        <v>No</v>
      </c>
      <c r="H275" s="315" t="str">
        <f>VLOOKUP($A275,'Privacy Analyst Evaluation'!$A$46:$K$120,8,0)&amp;""</f>
        <v/>
      </c>
      <c r="I275" s="315" t="str">
        <f>VLOOKUP($A275,'Privacy Analyst Evaluation'!$A$46:$K$120,9,0)&amp;""</f>
        <v>Standard Importance</v>
      </c>
      <c r="J275" s="315" t="str">
        <f>VLOOKUP($A275,'Privacy Analyst Evaluation'!$A$46:$K$120,10,0)&amp;""</f>
        <v/>
      </c>
      <c r="K275" s="315">
        <f>IF($I275='Auto Responses'!$J$11,20,IF($I275='Auto Responses'!$J$13,5,10))</f>
        <v>10</v>
      </c>
      <c r="L275" s="284">
        <f>IF($E275='Auto Responses'!$L$13, 'Auto Responses'!$J$5,IF(AND($D275='Auto Responses'!$J$27,$H275=""),'Auto Responses'!$J$5,IF(AND($D275='Auto Responses'!$J$27,$H275='Auto Responses'!$J$7),1,IF(AND($D275='Auto Responses'!$J$27,$H275='Auto Responses'!$J$8),0,IF(OR(AND($F275=$G275,$H275=""),$H275='Auto Responses'!$J$7),1,0)))))</f>
        <v>0</v>
      </c>
      <c r="M275" s="315" t="str">
        <f>VLOOKUP($A275,'Privacy Analyst Evaluation'!$A$46:$K$120,11,0)&amp;""</f>
        <v>FALSCH</v>
      </c>
      <c r="N275" s="315">
        <f>IF($J275='Auto Responses'!$J$11,1,IF(AND($J275="",$I275='Auto Responses'!$J$11),1,0))</f>
        <v>0</v>
      </c>
      <c r="O275" s="284">
        <f>IF(OR($E275='Auto Responses'!$L$13,$F$24='Auto Responses'!$J$4,$F275='Auto Responses'!$J$5),'Auto Responses'!$J$5,IF($J275="",$K275,IF($J275='Auto Responses'!$J$13,5,IF($J275='Auto Responses'!$J$12,10,IF($J275='Auto Responses'!$J$11,20,0)))))</f>
        <v>10</v>
      </c>
      <c r="P275" s="284">
        <f>IF(OR($O275='Auto Responses'!$J$5,$L275='Auto Responses'!$J$5),'Auto Responses'!$J$5,$O275*$L275)</f>
        <v>0</v>
      </c>
      <c r="Q275" s="284">
        <f t="shared" si="29"/>
        <v>0</v>
      </c>
      <c r="R275" s="284">
        <f t="shared" si="33"/>
        <v>0</v>
      </c>
      <c r="S275" s="284">
        <f t="shared" si="30"/>
        <v>0</v>
      </c>
      <c r="T275" s="284">
        <f t="shared" si="31"/>
        <v>0</v>
      </c>
      <c r="U275" s="284">
        <f t="shared" si="34"/>
        <v>69</v>
      </c>
      <c r="V275" s="284">
        <f t="shared" si="32"/>
        <v>0</v>
      </c>
    </row>
    <row r="276" spans="1:22" ht="55.5" customHeight="1" x14ac:dyDescent="0.2">
      <c r="A276" s="315" t="str">
        <f>Questions!$A276</f>
        <v>INTL-02</v>
      </c>
      <c r="B276" s="315" t="str">
        <f t="shared" si="28"/>
        <v>INTL</v>
      </c>
      <c r="C276" s="315" t="str">
        <f>VLOOKUP($A276,Questions!$A$3:$L$333,2,0)&amp;""</f>
        <v>Do you have a data protection officer (DPO)?</v>
      </c>
      <c r="D276" s="315" t="str">
        <f>VLOOKUP($A276,Questions!$A$3:$L$333,11,0)&amp;""</f>
        <v/>
      </c>
      <c r="E276" s="315" t="str">
        <f>VLOOKUP($A276,Questions!$A$3:$L$333,12,0)&amp;""</f>
        <v>Privacy</v>
      </c>
      <c r="F276" s="315" t="str">
        <f>VLOOKUP($A276,'Privacy Analyst Evaluation'!$A$46:$K$120,3,0)&amp;""</f>
        <v>No</v>
      </c>
      <c r="G276" s="315" t="str">
        <f>VLOOKUP($A276,'Privacy Analyst Evaluation'!$A$46:$K$120,7,0)&amp;""</f>
        <v>Yes</v>
      </c>
      <c r="H276" s="315" t="str">
        <f>VLOOKUP($A276,'Privacy Analyst Evaluation'!$A$46:$K$120,8,0)&amp;""</f>
        <v/>
      </c>
      <c r="I276" s="315" t="str">
        <f>VLOOKUP($A276,'Privacy Analyst Evaluation'!$A$46:$K$120,9,0)&amp;""</f>
        <v>Standard Importance</v>
      </c>
      <c r="J276" s="315" t="str">
        <f>VLOOKUP($A276,'Privacy Analyst Evaluation'!$A$46:$K$120,10,0)&amp;""</f>
        <v/>
      </c>
      <c r="K276" s="315">
        <f>IF($I276='Auto Responses'!$J$11,20,IF($I276='Auto Responses'!$J$13,5,10))</f>
        <v>10</v>
      </c>
      <c r="L276" s="284">
        <f>IF($E276='Auto Responses'!$L$13, 'Auto Responses'!$J$5,IF(AND($D276='Auto Responses'!$J$27,$H276=""),'Auto Responses'!$J$5,IF(AND($D276='Auto Responses'!$J$27,$H276='Auto Responses'!$J$7),1,IF(AND($D276='Auto Responses'!$J$27,$H276='Auto Responses'!$J$8),0,IF(OR(AND($F276=$G276,$H276=""),$H276='Auto Responses'!$J$7),1,0)))))</f>
        <v>0</v>
      </c>
      <c r="M276" s="315" t="str">
        <f>VLOOKUP($A276,'Privacy Analyst Evaluation'!$A$46:$K$120,11,0)&amp;""</f>
        <v>FALSCH</v>
      </c>
      <c r="N276" s="315">
        <f>IF($J276='Auto Responses'!$J$11,1,IF(AND($J276="",$I276='Auto Responses'!$J$11),1,0))</f>
        <v>0</v>
      </c>
      <c r="O276" s="284">
        <f>IF(OR($E276='Auto Responses'!$L$13,$F$24='Auto Responses'!$J$4,$F276='Auto Responses'!$J$5),'Auto Responses'!$J$5,IF($J276="",$K276,IF($J276='Auto Responses'!$J$13,5,IF($J276='Auto Responses'!$J$12,10,IF($J276='Auto Responses'!$J$11,20,0)))))</f>
        <v>10</v>
      </c>
      <c r="P276" s="284">
        <f>IF(OR($O276='Auto Responses'!$J$5,$L276='Auto Responses'!$J$5),'Auto Responses'!$J$5,$O276*$L276)</f>
        <v>0</v>
      </c>
      <c r="Q276" s="284">
        <f t="shared" si="29"/>
        <v>0</v>
      </c>
      <c r="R276" s="284">
        <f t="shared" si="33"/>
        <v>0</v>
      </c>
      <c r="S276" s="284">
        <f t="shared" si="30"/>
        <v>0</v>
      </c>
      <c r="T276" s="284">
        <f t="shared" si="31"/>
        <v>0</v>
      </c>
      <c r="U276" s="284">
        <f t="shared" si="34"/>
        <v>69</v>
      </c>
      <c r="V276" s="284">
        <f t="shared" si="32"/>
        <v>0</v>
      </c>
    </row>
    <row r="277" spans="1:22" ht="55.5" customHeight="1" x14ac:dyDescent="0.2">
      <c r="A277" s="315" t="str">
        <f>Questions!$A277</f>
        <v>INTL-03</v>
      </c>
      <c r="B277" s="315" t="str">
        <f t="shared" si="28"/>
        <v>INTL</v>
      </c>
      <c r="C277" s="315" t="str">
        <f>VLOOKUP($A277,Questions!$A$3:$L$333,2,0)&amp;""</f>
        <v>Will you sign appropriate GDPR Standard Contractual Clauses (SCCs) with the institution?</v>
      </c>
      <c r="D277" s="315" t="str">
        <f>VLOOKUP($A277,Questions!$A$3:$L$333,11,0)&amp;""</f>
        <v/>
      </c>
      <c r="E277" s="315" t="str">
        <f>VLOOKUP($A277,Questions!$A$3:$L$333,12,0)&amp;""</f>
        <v>Privacy</v>
      </c>
      <c r="F277" s="315" t="str">
        <f>VLOOKUP($A277,'Privacy Analyst Evaluation'!$A$46:$K$120,3,0)&amp;""</f>
        <v>Yes</v>
      </c>
      <c r="G277" s="315" t="str">
        <f>VLOOKUP($A277,'Privacy Analyst Evaluation'!$A$46:$K$120,7,0)&amp;""</f>
        <v>Yes</v>
      </c>
      <c r="H277" s="315" t="str">
        <f>VLOOKUP($A277,'Privacy Analyst Evaluation'!$A$46:$K$120,8,0)&amp;""</f>
        <v/>
      </c>
      <c r="I277" s="315" t="str">
        <f>VLOOKUP($A277,'Privacy Analyst Evaluation'!$A$46:$K$120,9,0)&amp;""</f>
        <v>Standard Importance</v>
      </c>
      <c r="J277" s="315" t="str">
        <f>VLOOKUP($A277,'Privacy Analyst Evaluation'!$A$46:$K$120,10,0)&amp;""</f>
        <v/>
      </c>
      <c r="K277" s="315">
        <f>IF($I277='Auto Responses'!$J$11,20,IF($I277='Auto Responses'!$J$13,5,10))</f>
        <v>10</v>
      </c>
      <c r="L277" s="284">
        <f>IF($E277='Auto Responses'!$L$13, 'Auto Responses'!$J$5,IF(AND($D277='Auto Responses'!$J$27,$H277=""),'Auto Responses'!$J$5,IF(AND($D277='Auto Responses'!$J$27,$H277='Auto Responses'!$J$7),1,IF(AND($D277='Auto Responses'!$J$27,$H277='Auto Responses'!$J$8),0,IF(OR(AND($F277=$G277,$H277=""),$H277='Auto Responses'!$J$7),1,0)))))</f>
        <v>1</v>
      </c>
      <c r="M277" s="315" t="str">
        <f>VLOOKUP($A277,'Privacy Analyst Evaluation'!$A$46:$K$120,11,0)&amp;""</f>
        <v>FALSCH</v>
      </c>
      <c r="N277" s="315">
        <f>IF($J277='Auto Responses'!$J$11,1,IF(AND($J277="",$I277='Auto Responses'!$J$11),1,0))</f>
        <v>0</v>
      </c>
      <c r="O277" s="284">
        <f>IF(OR($E277='Auto Responses'!$L$13,$F$24='Auto Responses'!$J$4,$F277='Auto Responses'!$J$5),'Auto Responses'!$J$5,IF($J277="",$K277,IF($J277='Auto Responses'!$J$13,5,IF($J277='Auto Responses'!$J$12,10,IF($J277='Auto Responses'!$J$11,20,0)))))</f>
        <v>10</v>
      </c>
      <c r="P277" s="284">
        <f>IF(OR($O277='Auto Responses'!$J$5,$L277='Auto Responses'!$J$5),'Auto Responses'!$J$5,$O277*$L277)</f>
        <v>10</v>
      </c>
      <c r="Q277" s="284">
        <f t="shared" si="29"/>
        <v>0</v>
      </c>
      <c r="R277" s="284">
        <f t="shared" si="33"/>
        <v>0</v>
      </c>
      <c r="S277" s="284">
        <f t="shared" si="30"/>
        <v>0</v>
      </c>
      <c r="T277" s="284">
        <f t="shared" si="31"/>
        <v>0</v>
      </c>
      <c r="U277" s="284">
        <f t="shared" si="34"/>
        <v>69</v>
      </c>
      <c r="V277" s="284">
        <f t="shared" si="32"/>
        <v>0</v>
      </c>
    </row>
    <row r="278" spans="1:22" ht="55.5" customHeight="1" x14ac:dyDescent="0.2">
      <c r="A278" s="315" t="str">
        <f>Questions!$A278</f>
        <v>INTL-04</v>
      </c>
      <c r="B278" s="315" t="str">
        <f t="shared" si="28"/>
        <v>INTL</v>
      </c>
      <c r="C278" s="315" t="str">
        <f>VLOOKUP($A278,Questions!$A$3:$L$333,2,0)&amp;""</f>
        <v>Will data be collected from or processed in or stored in China?</v>
      </c>
      <c r="D278" s="315" t="str">
        <f>VLOOKUP($A278,Questions!$A$3:$L$333,11,0)&amp;""</f>
        <v/>
      </c>
      <c r="E278" s="315" t="str">
        <f>VLOOKUP($A278,Questions!$A$3:$L$333,12,0)&amp;""</f>
        <v>Privacy</v>
      </c>
      <c r="F278" s="315" t="str">
        <f>VLOOKUP($A278,'Privacy Analyst Evaluation'!$A$46:$K$120,3,0)&amp;""</f>
        <v>No</v>
      </c>
      <c r="G278" s="315" t="str">
        <f>VLOOKUP($A278,'Privacy Analyst Evaluation'!$A$46:$K$120,7,0)&amp;""</f>
        <v>No</v>
      </c>
      <c r="H278" s="315" t="str">
        <f>VLOOKUP($A278,'Privacy Analyst Evaluation'!$A$46:$K$120,8,0)&amp;""</f>
        <v/>
      </c>
      <c r="I278" s="315" t="str">
        <f>VLOOKUP($A278,'Privacy Analyst Evaluation'!$A$46:$K$120,9,0)&amp;""</f>
        <v>Standard Importance</v>
      </c>
      <c r="J278" s="315" t="str">
        <f>VLOOKUP($A278,'Privacy Analyst Evaluation'!$A$46:$K$120,10,0)&amp;""</f>
        <v/>
      </c>
      <c r="K278" s="315">
        <f>IF($I278='Auto Responses'!$J$11,20,IF($I278='Auto Responses'!$J$13,5,10))</f>
        <v>10</v>
      </c>
      <c r="L278" s="284">
        <f>IF($E278='Auto Responses'!$L$13, 'Auto Responses'!$J$5,IF(AND($D278='Auto Responses'!$J$27,$H278=""),'Auto Responses'!$J$5,IF(AND($D278='Auto Responses'!$J$27,$H278='Auto Responses'!$J$7),1,IF(AND($D278='Auto Responses'!$J$27,$H278='Auto Responses'!$J$8),0,IF(OR(AND($F278=$G278,$H278=""),$H278='Auto Responses'!$J$7),1,0)))))</f>
        <v>1</v>
      </c>
      <c r="M278" s="315" t="str">
        <f>VLOOKUP($A278,'Privacy Analyst Evaluation'!$A$46:$K$120,11,0)&amp;""</f>
        <v>FALSCH</v>
      </c>
      <c r="N278" s="315">
        <f>IF($J278='Auto Responses'!$J$11,1,IF(AND($J278="",$I278='Auto Responses'!$J$11),1,0))</f>
        <v>0</v>
      </c>
      <c r="O278" s="284">
        <f>IF(OR($E278='Auto Responses'!$L$13,$F$24='Auto Responses'!$J$4,$F278='Auto Responses'!$J$5),'Auto Responses'!$J$5,IF($J278="",$K278,IF($J278='Auto Responses'!$J$13,5,IF($J278='Auto Responses'!$J$12,10,IF($J278='Auto Responses'!$J$11,20,0)))))</f>
        <v>10</v>
      </c>
      <c r="P278" s="284">
        <f>IF(OR($O278='Auto Responses'!$J$5,$L278='Auto Responses'!$J$5),'Auto Responses'!$J$5,$O278*$L278)</f>
        <v>10</v>
      </c>
      <c r="Q278" s="284">
        <f t="shared" si="29"/>
        <v>0</v>
      </c>
      <c r="R278" s="284">
        <f t="shared" si="33"/>
        <v>0</v>
      </c>
      <c r="S278" s="284">
        <f t="shared" si="30"/>
        <v>0</v>
      </c>
      <c r="T278" s="284">
        <f t="shared" si="31"/>
        <v>0</v>
      </c>
      <c r="U278" s="284">
        <f t="shared" si="34"/>
        <v>69</v>
      </c>
      <c r="V278" s="284">
        <f t="shared" si="32"/>
        <v>0</v>
      </c>
    </row>
    <row r="279" spans="1:22" ht="55.5" customHeight="1" x14ac:dyDescent="0.2">
      <c r="A279" s="315" t="str">
        <f>Questions!$A279</f>
        <v>INTL-05</v>
      </c>
      <c r="B279" s="315" t="str">
        <f t="shared" si="28"/>
        <v>INTL</v>
      </c>
      <c r="C279" s="315" t="str">
        <f>VLOOKUP($A279,Questions!$A$3:$L$333,2,0)&amp;""</f>
        <v>Do you comply with PIPL security, privacy, and data localization requirements?</v>
      </c>
      <c r="D279" s="315" t="str">
        <f>VLOOKUP($A279,Questions!$A$3:$L$333,11,0)&amp;""</f>
        <v/>
      </c>
      <c r="E279" s="315" t="str">
        <f>VLOOKUP($A279,Questions!$A$3:$L$333,12,0)&amp;""</f>
        <v>Privacy</v>
      </c>
      <c r="F279" s="315" t="str">
        <f>VLOOKUP($A279,'Privacy Analyst Evaluation'!$A$46:$K$120,3,0)&amp;""</f>
        <v>N/A</v>
      </c>
      <c r="G279" s="315" t="str">
        <f>VLOOKUP($A279,'Privacy Analyst Evaluation'!$A$46:$K$120,7,0)&amp;""</f>
        <v>Yes</v>
      </c>
      <c r="H279" s="315" t="str">
        <f>VLOOKUP($A279,'Privacy Analyst Evaluation'!$A$46:$K$120,8,0)&amp;""</f>
        <v/>
      </c>
      <c r="I279" s="315" t="str">
        <f>VLOOKUP($A279,'Privacy Analyst Evaluation'!$A$46:$K$120,9,0)&amp;""</f>
        <v>Standard Importance</v>
      </c>
      <c r="J279" s="315" t="str">
        <f>VLOOKUP($A279,'Privacy Analyst Evaluation'!$A$46:$K$120,10,0)&amp;""</f>
        <v/>
      </c>
      <c r="K279" s="315">
        <f>IF($I279='Auto Responses'!$J$11,20,IF($I279='Auto Responses'!$J$13,5,10))</f>
        <v>10</v>
      </c>
      <c r="L279" s="284">
        <f>IF($E279='Auto Responses'!$L$13, 'Auto Responses'!$J$5,IF(AND($D279='Auto Responses'!$J$27,$H279=""),'Auto Responses'!$J$5,IF(AND($D279='Auto Responses'!$J$27,$H279='Auto Responses'!$J$7),1,IF(AND($D279='Auto Responses'!$J$27,$H279='Auto Responses'!$J$8),0,IF(OR(AND($F279=$G279,$H279=""),$H279='Auto Responses'!$J$7),1,0)))))</f>
        <v>0</v>
      </c>
      <c r="M279" s="315" t="str">
        <f>VLOOKUP($A279,'Privacy Analyst Evaluation'!$A$46:$K$120,11,0)&amp;""</f>
        <v>FALSCH</v>
      </c>
      <c r="N279" s="315">
        <f>IF($J279='Auto Responses'!$J$11,1,IF(AND($J279="",$I279='Auto Responses'!$J$11),1,0))</f>
        <v>0</v>
      </c>
      <c r="O279" s="284" t="str">
        <f>IF(OR($E279='Auto Responses'!$L$13,$F$24='Auto Responses'!$J$4,$F279='Auto Responses'!$J$5),'Auto Responses'!$J$5,IF($J279="",$K279,IF($J279='Auto Responses'!$J$13,5,IF($J279='Auto Responses'!$J$12,10,IF($J279='Auto Responses'!$J$11,20,0)))))</f>
        <v>N/A</v>
      </c>
      <c r="P279" s="284" t="str">
        <f>IF(OR($O279='Auto Responses'!$J$5,$L279='Auto Responses'!$J$5),'Auto Responses'!$J$5,$O279*$L279)</f>
        <v>N/A</v>
      </c>
      <c r="Q279" s="284">
        <f t="shared" si="29"/>
        <v>0</v>
      </c>
      <c r="R279" s="284">
        <f t="shared" si="33"/>
        <v>0</v>
      </c>
      <c r="S279" s="284">
        <f t="shared" si="30"/>
        <v>0</v>
      </c>
      <c r="T279" s="284">
        <f t="shared" si="31"/>
        <v>0</v>
      </c>
      <c r="U279" s="284">
        <f t="shared" si="34"/>
        <v>69</v>
      </c>
      <c r="V279" s="284">
        <f t="shared" si="32"/>
        <v>0</v>
      </c>
    </row>
    <row r="280" spans="1:22" ht="55.5" customHeight="1" x14ac:dyDescent="0.2">
      <c r="A280" s="315" t="str">
        <f>Questions!$A280</f>
        <v>DRPV-01</v>
      </c>
      <c r="B280" s="315" t="str">
        <f t="shared" si="28"/>
        <v>DRPV</v>
      </c>
      <c r="C280" s="315" t="str">
        <f>VLOOKUP($A280,Questions!$A$3:$L$333,2,0)&amp;""</f>
        <v>Have you performed a Data Privacy Impact Assessment for the solution/project?</v>
      </c>
      <c r="D280" s="315" t="str">
        <f>VLOOKUP($A280,Questions!$A$3:$L$333,11,0)&amp;""</f>
        <v/>
      </c>
      <c r="E280" s="315" t="str">
        <f>VLOOKUP($A280,Questions!$A$3:$L$333,12,0)&amp;""</f>
        <v>Privacy</v>
      </c>
      <c r="F280" s="315" t="str">
        <f>VLOOKUP($A280,'Privacy Analyst Evaluation'!$A$46:$K$120,3,0)&amp;""</f>
        <v>No</v>
      </c>
      <c r="G280" s="315" t="str">
        <f>VLOOKUP($A280,'Privacy Analyst Evaluation'!$A$46:$K$120,7,0)&amp;""</f>
        <v>Yes</v>
      </c>
      <c r="H280" s="315" t="str">
        <f>VLOOKUP($A280,'Privacy Analyst Evaluation'!$A$46:$K$120,8,0)&amp;""</f>
        <v/>
      </c>
      <c r="I280" s="315" t="str">
        <f>VLOOKUP($A280,'Privacy Analyst Evaluation'!$A$46:$K$120,9,0)&amp;""</f>
        <v>Standard Importance</v>
      </c>
      <c r="J280" s="315" t="str">
        <f>VLOOKUP($A280,'Privacy Analyst Evaluation'!$A$46:$K$120,10,0)&amp;""</f>
        <v/>
      </c>
      <c r="K280" s="315">
        <f>IF($I280='Auto Responses'!$J$11,20,IF($I280='Auto Responses'!$J$13,5,10))</f>
        <v>10</v>
      </c>
      <c r="L280" s="284">
        <f>IF($E280='Auto Responses'!$L$13, 'Auto Responses'!$J$5,IF(AND($D280='Auto Responses'!$J$27,$H280=""),'Auto Responses'!$J$5,IF(AND($D280='Auto Responses'!$J$27,$H280='Auto Responses'!$J$7),1,IF(AND($D280='Auto Responses'!$J$27,$H280='Auto Responses'!$J$8),0,IF(OR(AND($F280=$G280,$H280=""),$H280='Auto Responses'!$J$7),1,0)))))</f>
        <v>0</v>
      </c>
      <c r="M280" s="315" t="str">
        <f>VLOOKUP($A280,'Privacy Analyst Evaluation'!$A$46:$K$120,11,0)&amp;""</f>
        <v>FALSCH</v>
      </c>
      <c r="N280" s="315">
        <f>IF($J280='Auto Responses'!$J$11,1,IF(AND($J280="",$I280='Auto Responses'!$J$11),1,0))</f>
        <v>0</v>
      </c>
      <c r="O280" s="284">
        <f>IF(OR($E280='Auto Responses'!$L$13,$F$24='Auto Responses'!$J$4,$F280='Auto Responses'!$J$5),'Auto Responses'!$J$5,IF($J280="",$K280,IF($J280='Auto Responses'!$J$13,5,IF($J280='Auto Responses'!$J$12,10,IF($J280='Auto Responses'!$J$11,20,0)))))</f>
        <v>10</v>
      </c>
      <c r="P280" s="284">
        <f>IF(OR($O280='Auto Responses'!$J$5,$L280='Auto Responses'!$J$5),'Auto Responses'!$J$5,$O280*$L280)</f>
        <v>0</v>
      </c>
      <c r="Q280" s="284">
        <f t="shared" si="29"/>
        <v>0</v>
      </c>
      <c r="R280" s="284">
        <f t="shared" si="33"/>
        <v>0</v>
      </c>
      <c r="S280" s="284">
        <f t="shared" si="30"/>
        <v>0</v>
      </c>
      <c r="T280" s="284">
        <f t="shared" si="31"/>
        <v>0</v>
      </c>
      <c r="U280" s="284">
        <f t="shared" si="34"/>
        <v>69</v>
      </c>
      <c r="V280" s="284">
        <f t="shared" si="32"/>
        <v>0</v>
      </c>
    </row>
    <row r="281" spans="1:22" ht="55.5" customHeight="1" x14ac:dyDescent="0.2">
      <c r="A281" s="315" t="str">
        <f>Questions!$A281</f>
        <v>DRPV-02</v>
      </c>
      <c r="B281" s="315" t="str">
        <f t="shared" si="28"/>
        <v>DRPV</v>
      </c>
      <c r="C281" s="315" t="str">
        <f>VLOOKUP($A281,Questions!$A$3:$L$333,2,0)&amp;""</f>
        <v>Do you provide an end-user privacy notice about privacy policies and procedures that identify the purpose(s) for which personal information is collected, used, retained, and disclosed?</v>
      </c>
      <c r="D281" s="315" t="str">
        <f>VLOOKUP($A281,Questions!$A$3:$L$333,11,0)&amp;""</f>
        <v/>
      </c>
      <c r="E281" s="315" t="str">
        <f>VLOOKUP($A281,Questions!$A$3:$L$333,12,0)&amp;""</f>
        <v>Privacy</v>
      </c>
      <c r="F281" s="315" t="str">
        <f>VLOOKUP($A281,'Privacy Analyst Evaluation'!$A$46:$K$120,3,0)&amp;""</f>
        <v>Yes</v>
      </c>
      <c r="G281" s="315" t="str">
        <f>VLOOKUP($A281,'Privacy Analyst Evaluation'!$A$46:$K$120,7,0)&amp;""</f>
        <v>Yes</v>
      </c>
      <c r="H281" s="315" t="str">
        <f>VLOOKUP($A281,'Privacy Analyst Evaluation'!$A$46:$K$120,8,0)&amp;""</f>
        <v/>
      </c>
      <c r="I281" s="315" t="str">
        <f>VLOOKUP($A281,'Privacy Analyst Evaluation'!$A$46:$K$120,9,0)&amp;""</f>
        <v>Standard Importance</v>
      </c>
      <c r="J281" s="315" t="str">
        <f>VLOOKUP($A281,'Privacy Analyst Evaluation'!$A$46:$K$120,10,0)&amp;""</f>
        <v/>
      </c>
      <c r="K281" s="315">
        <f>IF($I281='Auto Responses'!$J$11,20,IF($I281='Auto Responses'!$J$13,5,10))</f>
        <v>10</v>
      </c>
      <c r="L281" s="284">
        <f>IF($E281='Auto Responses'!$L$13, 'Auto Responses'!$J$5,IF(AND($D281='Auto Responses'!$J$27,$H281=""),'Auto Responses'!$J$5,IF(AND($D281='Auto Responses'!$J$27,$H281='Auto Responses'!$J$7),1,IF(AND($D281='Auto Responses'!$J$27,$H281='Auto Responses'!$J$8),0,IF(OR(AND($F281=$G281,$H281=""),$H281='Auto Responses'!$J$7),1,0)))))</f>
        <v>1</v>
      </c>
      <c r="M281" s="315" t="str">
        <f>VLOOKUP($A281,'Privacy Analyst Evaluation'!$A$46:$K$120,11,0)&amp;""</f>
        <v>FALSCH</v>
      </c>
      <c r="N281" s="315">
        <f>IF($J281='Auto Responses'!$J$11,1,IF(AND($J281="",$I281='Auto Responses'!$J$11),1,0))</f>
        <v>0</v>
      </c>
      <c r="O281" s="284">
        <f>IF(OR($E281='Auto Responses'!$L$13,$F$24='Auto Responses'!$J$4,$F281='Auto Responses'!$J$5),'Auto Responses'!$J$5,IF($J281="",$K281,IF($J281='Auto Responses'!$J$13,5,IF($J281='Auto Responses'!$J$12,10,IF($J281='Auto Responses'!$J$11,20,0)))))</f>
        <v>10</v>
      </c>
      <c r="P281" s="284">
        <f>IF(OR($O281='Auto Responses'!$J$5,$L281='Auto Responses'!$J$5),'Auto Responses'!$J$5,$O281*$L281)</f>
        <v>10</v>
      </c>
      <c r="Q281" s="284">
        <f t="shared" si="29"/>
        <v>0</v>
      </c>
      <c r="R281" s="284">
        <f t="shared" si="33"/>
        <v>0</v>
      </c>
      <c r="S281" s="284">
        <f t="shared" si="30"/>
        <v>0</v>
      </c>
      <c r="T281" s="284">
        <f t="shared" si="31"/>
        <v>0</v>
      </c>
      <c r="U281" s="284">
        <f t="shared" si="34"/>
        <v>69</v>
      </c>
      <c r="V281" s="284">
        <f t="shared" si="32"/>
        <v>0</v>
      </c>
    </row>
    <row r="282" spans="1:22" ht="55.5" customHeight="1" x14ac:dyDescent="0.2">
      <c r="A282" s="315" t="str">
        <f>Questions!$A282</f>
        <v>DRPV-03</v>
      </c>
      <c r="B282" s="315" t="str">
        <f t="shared" si="28"/>
        <v>DRPV</v>
      </c>
      <c r="C282" s="315" t="str">
        <f>VLOOKUP($A282,Questions!$A$3:$L$333,2,0)&amp;""</f>
        <v>Do you describe the choices available to the individual and obtain implicit or explicit consent with respect to the collection, use, and disclosure of personal information?</v>
      </c>
      <c r="D282" s="315" t="str">
        <f>VLOOKUP($A282,Questions!$A$3:$L$333,11,0)&amp;""</f>
        <v/>
      </c>
      <c r="E282" s="315" t="str">
        <f>VLOOKUP($A282,Questions!$A$3:$L$333,12,0)&amp;""</f>
        <v>Privacy</v>
      </c>
      <c r="F282" s="315" t="str">
        <f>VLOOKUP($A282,'Privacy Analyst Evaluation'!$A$46:$K$120,3,0)&amp;""</f>
        <v>Yes</v>
      </c>
      <c r="G282" s="315" t="str">
        <f>VLOOKUP($A282,'Privacy Analyst Evaluation'!$A$46:$K$120,7,0)&amp;""</f>
        <v>Yes</v>
      </c>
      <c r="H282" s="315" t="str">
        <f>VLOOKUP($A282,'Privacy Analyst Evaluation'!$A$46:$K$120,8,0)&amp;""</f>
        <v/>
      </c>
      <c r="I282" s="315" t="str">
        <f>VLOOKUP($A282,'Privacy Analyst Evaluation'!$A$46:$K$120,9,0)&amp;""</f>
        <v>Standard Importance</v>
      </c>
      <c r="J282" s="315" t="str">
        <f>VLOOKUP($A282,'Privacy Analyst Evaluation'!$A$46:$K$120,10,0)&amp;""</f>
        <v/>
      </c>
      <c r="K282" s="315">
        <f>IF($I282='Auto Responses'!$J$11,20,IF($I282='Auto Responses'!$J$13,5,10))</f>
        <v>10</v>
      </c>
      <c r="L282" s="284">
        <f>IF($E282='Auto Responses'!$L$13, 'Auto Responses'!$J$5,IF(AND($D282='Auto Responses'!$J$27,$H282=""),'Auto Responses'!$J$5,IF(AND($D282='Auto Responses'!$J$27,$H282='Auto Responses'!$J$7),1,IF(AND($D282='Auto Responses'!$J$27,$H282='Auto Responses'!$J$8),0,IF(OR(AND($F282=$G282,$H282=""),$H282='Auto Responses'!$J$7),1,0)))))</f>
        <v>1</v>
      </c>
      <c r="M282" s="315" t="str">
        <f>VLOOKUP($A282,'Privacy Analyst Evaluation'!$A$46:$K$120,11,0)&amp;""</f>
        <v>FALSCH</v>
      </c>
      <c r="N282" s="315">
        <f>IF($J282='Auto Responses'!$J$11,1,IF(AND($J282="",$I282='Auto Responses'!$J$11),1,0))</f>
        <v>0</v>
      </c>
      <c r="O282" s="284">
        <f>IF(OR($E282='Auto Responses'!$L$13,$F$24='Auto Responses'!$J$4,$F282='Auto Responses'!$J$5),'Auto Responses'!$J$5,IF($J282="",$K282,IF($J282='Auto Responses'!$J$13,5,IF($J282='Auto Responses'!$J$12,10,IF($J282='Auto Responses'!$J$11,20,0)))))</f>
        <v>10</v>
      </c>
      <c r="P282" s="284">
        <f>IF(OR($O282='Auto Responses'!$J$5,$L282='Auto Responses'!$J$5),'Auto Responses'!$J$5,$O282*$L282)</f>
        <v>10</v>
      </c>
      <c r="Q282" s="284">
        <f t="shared" si="29"/>
        <v>0</v>
      </c>
      <c r="R282" s="284">
        <f t="shared" si="33"/>
        <v>0</v>
      </c>
      <c r="S282" s="284">
        <f t="shared" si="30"/>
        <v>0</v>
      </c>
      <c r="T282" s="284">
        <f t="shared" si="31"/>
        <v>0</v>
      </c>
      <c r="U282" s="284">
        <f t="shared" si="34"/>
        <v>69</v>
      </c>
      <c r="V282" s="284">
        <f t="shared" si="32"/>
        <v>0</v>
      </c>
    </row>
    <row r="283" spans="1:22" ht="55.5" customHeight="1" x14ac:dyDescent="0.2">
      <c r="A283" s="315" t="str">
        <f>Questions!$A283</f>
        <v>DRPV-04</v>
      </c>
      <c r="B283" s="315" t="str">
        <f t="shared" si="28"/>
        <v>DRPV</v>
      </c>
      <c r="C283" s="315" t="str">
        <f>VLOOKUP($A283,Questions!$A$3:$L$333,2,0)&amp;""</f>
        <v>Do you collect personal information only for the purpose(s) identified in the agreement with an institution or, if there is none, the purpose(s) identified in the privacy notice?</v>
      </c>
      <c r="D283" s="315" t="str">
        <f>VLOOKUP($A283,Questions!$A$3:$L$333,11,0)&amp;""</f>
        <v/>
      </c>
      <c r="E283" s="315" t="str">
        <f>VLOOKUP($A283,Questions!$A$3:$L$333,12,0)&amp;""</f>
        <v>Privacy</v>
      </c>
      <c r="F283" s="315" t="str">
        <f>VLOOKUP($A283,'Privacy Analyst Evaluation'!$A$46:$K$120,3,0)&amp;""</f>
        <v>Yes</v>
      </c>
      <c r="G283" s="315" t="str">
        <f>VLOOKUP($A283,'Privacy Analyst Evaluation'!$A$46:$K$120,7,0)&amp;""</f>
        <v>Yes</v>
      </c>
      <c r="H283" s="315" t="str">
        <f>VLOOKUP($A283,'Privacy Analyst Evaluation'!$A$46:$K$120,8,0)&amp;""</f>
        <v/>
      </c>
      <c r="I283" s="315" t="str">
        <f>VLOOKUP($A283,'Privacy Analyst Evaluation'!$A$46:$K$120,9,0)&amp;""</f>
        <v>Standard Importance</v>
      </c>
      <c r="J283" s="315" t="str">
        <f>VLOOKUP($A283,'Privacy Analyst Evaluation'!$A$46:$K$120,10,0)&amp;""</f>
        <v/>
      </c>
      <c r="K283" s="315">
        <f>IF($I283='Auto Responses'!$J$11,20,IF($I283='Auto Responses'!$J$13,5,10))</f>
        <v>10</v>
      </c>
      <c r="L283" s="284">
        <f>IF($E283='Auto Responses'!$L$13, 'Auto Responses'!$J$5,IF(AND($D283='Auto Responses'!$J$27,$H283=""),'Auto Responses'!$J$5,IF(AND($D283='Auto Responses'!$J$27,$H283='Auto Responses'!$J$7),1,IF(AND($D283='Auto Responses'!$J$27,$H283='Auto Responses'!$J$8),0,IF(OR(AND($F283=$G283,$H283=""),$H283='Auto Responses'!$J$7),1,0)))))</f>
        <v>1</v>
      </c>
      <c r="M283" s="315" t="str">
        <f>VLOOKUP($A283,'Privacy Analyst Evaluation'!$A$46:$K$120,11,0)&amp;""</f>
        <v>FALSCH</v>
      </c>
      <c r="N283" s="315">
        <f>IF($J283='Auto Responses'!$J$11,1,IF(AND($J283="",$I283='Auto Responses'!$J$11),1,0))</f>
        <v>0</v>
      </c>
      <c r="O283" s="284">
        <f>IF(OR($E283='Auto Responses'!$L$13,$F$24='Auto Responses'!$J$4,$F283='Auto Responses'!$J$5),'Auto Responses'!$J$5,IF($J283="",$K283,IF($J283='Auto Responses'!$J$13,5,IF($J283='Auto Responses'!$J$12,10,IF($J283='Auto Responses'!$J$11,20,0)))))</f>
        <v>10</v>
      </c>
      <c r="P283" s="284">
        <f>IF(OR($O283='Auto Responses'!$J$5,$L283='Auto Responses'!$J$5),'Auto Responses'!$J$5,$O283*$L283)</f>
        <v>10</v>
      </c>
      <c r="Q283" s="284">
        <f t="shared" si="29"/>
        <v>0</v>
      </c>
      <c r="R283" s="284">
        <f t="shared" si="33"/>
        <v>0</v>
      </c>
      <c r="S283" s="284">
        <f t="shared" si="30"/>
        <v>0</v>
      </c>
      <c r="T283" s="284">
        <f t="shared" si="31"/>
        <v>0</v>
      </c>
      <c r="U283" s="284">
        <f t="shared" si="34"/>
        <v>69</v>
      </c>
      <c r="V283" s="284">
        <f t="shared" si="32"/>
        <v>0</v>
      </c>
    </row>
    <row r="284" spans="1:22" ht="55.5" customHeight="1" x14ac:dyDescent="0.2">
      <c r="A284" s="315" t="str">
        <f>Questions!$A284</f>
        <v>DRPV-05</v>
      </c>
      <c r="B284" s="315" t="str">
        <f t="shared" si="28"/>
        <v>DRPV</v>
      </c>
      <c r="C284" s="315" t="str">
        <f>VLOOKUP($A284,Questions!$A$3:$L$333,2,0)&amp;""</f>
        <v>Do you have a documented list of personal data your service maintains?</v>
      </c>
      <c r="D284" s="315" t="str">
        <f>VLOOKUP($A284,Questions!$A$3:$L$333,11,0)&amp;""</f>
        <v/>
      </c>
      <c r="E284" s="315" t="str">
        <f>VLOOKUP($A284,Questions!$A$3:$L$333,12,0)&amp;""</f>
        <v>Privacy</v>
      </c>
      <c r="F284" s="315" t="str">
        <f>VLOOKUP($A284,'Privacy Analyst Evaluation'!$A$46:$K$120,3,0)&amp;""</f>
        <v>No</v>
      </c>
      <c r="G284" s="315" t="str">
        <f>VLOOKUP($A284,'Privacy Analyst Evaluation'!$A$46:$K$120,7,0)&amp;""</f>
        <v>Yes</v>
      </c>
      <c r="H284" s="315" t="str">
        <f>VLOOKUP($A284,'Privacy Analyst Evaluation'!$A$46:$K$120,8,0)&amp;""</f>
        <v/>
      </c>
      <c r="I284" s="315" t="str">
        <f>VLOOKUP($A284,'Privacy Analyst Evaluation'!$A$46:$K$120,9,0)&amp;""</f>
        <v>Standard Importance</v>
      </c>
      <c r="J284" s="315" t="str">
        <f>VLOOKUP($A284,'Privacy Analyst Evaluation'!$A$46:$K$120,10,0)&amp;""</f>
        <v/>
      </c>
      <c r="K284" s="315">
        <f>IF($I284='Auto Responses'!$J$11,20,IF($I284='Auto Responses'!$J$13,5,10))</f>
        <v>10</v>
      </c>
      <c r="L284" s="284">
        <f>IF($E284='Auto Responses'!$L$13, 'Auto Responses'!$J$5,IF(AND($D284='Auto Responses'!$J$27,$H284=""),'Auto Responses'!$J$5,IF(AND($D284='Auto Responses'!$J$27,$H284='Auto Responses'!$J$7),1,IF(AND($D284='Auto Responses'!$J$27,$H284='Auto Responses'!$J$8),0,IF(OR(AND($F284=$G284,$H284=""),$H284='Auto Responses'!$J$7),1,0)))))</f>
        <v>0</v>
      </c>
      <c r="M284" s="315" t="str">
        <f>VLOOKUP($A284,'Privacy Analyst Evaluation'!$A$46:$K$120,11,0)&amp;""</f>
        <v>FALSCH</v>
      </c>
      <c r="N284" s="315">
        <f>IF($J284='Auto Responses'!$J$11,1,IF(AND($J284="",$I284='Auto Responses'!$J$11),1,0))</f>
        <v>0</v>
      </c>
      <c r="O284" s="284">
        <f>IF(OR($E284='Auto Responses'!$L$13,$F$24='Auto Responses'!$J$4,$F284='Auto Responses'!$J$5),'Auto Responses'!$J$5,IF($J284="",$K284,IF($J284='Auto Responses'!$J$13,5,IF($J284='Auto Responses'!$J$12,10,IF($J284='Auto Responses'!$J$11,20,0)))))</f>
        <v>10</v>
      </c>
      <c r="P284" s="284">
        <f>IF(OR($O284='Auto Responses'!$J$5,$L284='Auto Responses'!$J$5),'Auto Responses'!$J$5,$O284*$L284)</f>
        <v>0</v>
      </c>
      <c r="Q284" s="284">
        <f t="shared" si="29"/>
        <v>0</v>
      </c>
      <c r="R284" s="284">
        <f t="shared" si="33"/>
        <v>0</v>
      </c>
      <c r="S284" s="284">
        <f t="shared" si="30"/>
        <v>0</v>
      </c>
      <c r="T284" s="284">
        <f t="shared" si="31"/>
        <v>0</v>
      </c>
      <c r="U284" s="284">
        <f t="shared" si="34"/>
        <v>69</v>
      </c>
      <c r="V284" s="284">
        <f t="shared" si="32"/>
        <v>0</v>
      </c>
    </row>
    <row r="285" spans="1:22" ht="55.5" customHeight="1" x14ac:dyDescent="0.2">
      <c r="A285" s="315" t="str">
        <f>Questions!$A285</f>
        <v>DRPV-06</v>
      </c>
      <c r="B285" s="315" t="str">
        <f t="shared" si="28"/>
        <v>DRPV</v>
      </c>
      <c r="C285" s="315" t="str">
        <f>VLOOKUP($A285,Questions!$A$3:$L$333,2,0)&amp;""</f>
        <v>Do you retain personal information for only as long as necessary to fulfill the stated purpose(s) or as required by law or regulation and thereafter appropriately dispose of such information?</v>
      </c>
      <c r="D285" s="315" t="str">
        <f>VLOOKUP($A285,Questions!$A$3:$L$333,11,0)&amp;""</f>
        <v/>
      </c>
      <c r="E285" s="315" t="str">
        <f>VLOOKUP($A285,Questions!$A$3:$L$333,12,0)&amp;""</f>
        <v>Privacy</v>
      </c>
      <c r="F285" s="315" t="str">
        <f>VLOOKUP($A285,'Privacy Analyst Evaluation'!$A$46:$K$120,3,0)&amp;""</f>
        <v>Yes</v>
      </c>
      <c r="G285" s="315" t="str">
        <f>VLOOKUP($A285,'Privacy Analyst Evaluation'!$A$46:$K$120,7,0)&amp;""</f>
        <v>Yes</v>
      </c>
      <c r="H285" s="315" t="str">
        <f>VLOOKUP($A285,'Privacy Analyst Evaluation'!$A$46:$K$120,8,0)&amp;""</f>
        <v/>
      </c>
      <c r="I285" s="315" t="str">
        <f>VLOOKUP($A285,'Privacy Analyst Evaluation'!$A$46:$K$120,9,0)&amp;""</f>
        <v>Standard Importance</v>
      </c>
      <c r="J285" s="315" t="str">
        <f>VLOOKUP($A285,'Privacy Analyst Evaluation'!$A$46:$K$120,10,0)&amp;""</f>
        <v/>
      </c>
      <c r="K285" s="315">
        <f>IF($I285='Auto Responses'!$J$11,20,IF($I285='Auto Responses'!$J$13,5,10))</f>
        <v>10</v>
      </c>
      <c r="L285" s="284">
        <f>IF($E285='Auto Responses'!$L$13, 'Auto Responses'!$J$5,IF(AND($D285='Auto Responses'!$J$27,$H285=""),'Auto Responses'!$J$5,IF(AND($D285='Auto Responses'!$J$27,$H285='Auto Responses'!$J$7),1,IF(AND($D285='Auto Responses'!$J$27,$H285='Auto Responses'!$J$8),0,IF(OR(AND($F285=$G285,$H285=""),$H285='Auto Responses'!$J$7),1,0)))))</f>
        <v>1</v>
      </c>
      <c r="M285" s="315" t="str">
        <f>VLOOKUP($A285,'Privacy Analyst Evaluation'!$A$46:$K$120,11,0)&amp;""</f>
        <v>FALSCH</v>
      </c>
      <c r="N285" s="315">
        <f>IF($J285='Auto Responses'!$J$11,1,IF(AND($J285="",$I285='Auto Responses'!$J$11),1,0))</f>
        <v>0</v>
      </c>
      <c r="O285" s="284">
        <f>IF(OR($E285='Auto Responses'!$L$13,$F$24='Auto Responses'!$J$4,$F285='Auto Responses'!$J$5),'Auto Responses'!$J$5,IF($J285="",$K285,IF($J285='Auto Responses'!$J$13,5,IF($J285='Auto Responses'!$J$12,10,IF($J285='Auto Responses'!$J$11,20,0)))))</f>
        <v>10</v>
      </c>
      <c r="P285" s="284">
        <f>IF(OR($O285='Auto Responses'!$J$5,$L285='Auto Responses'!$J$5),'Auto Responses'!$J$5,$O285*$L285)</f>
        <v>10</v>
      </c>
      <c r="Q285" s="284">
        <f t="shared" si="29"/>
        <v>0</v>
      </c>
      <c r="R285" s="284">
        <f t="shared" si="33"/>
        <v>0</v>
      </c>
      <c r="S285" s="284">
        <f t="shared" si="30"/>
        <v>0</v>
      </c>
      <c r="T285" s="284">
        <f t="shared" si="31"/>
        <v>0</v>
      </c>
      <c r="U285" s="284">
        <f t="shared" si="34"/>
        <v>69</v>
      </c>
      <c r="V285" s="284">
        <f t="shared" si="32"/>
        <v>0</v>
      </c>
    </row>
    <row r="286" spans="1:22" ht="55.5" customHeight="1" x14ac:dyDescent="0.2">
      <c r="A286" s="315" t="str">
        <f>Questions!$A286</f>
        <v>DRPV-07</v>
      </c>
      <c r="B286" s="315" t="str">
        <f t="shared" si="28"/>
        <v>DRPV</v>
      </c>
      <c r="C286" s="315" t="str">
        <f>VLOOKUP($A286,Questions!$A$3:$L$333,2,0)&amp;""</f>
        <v>Do you provide individuals with access to their personal information for review and update (i.e., data subject rights)?</v>
      </c>
      <c r="D286" s="315" t="str">
        <f>VLOOKUP($A286,Questions!$A$3:$L$333,11,0)&amp;""</f>
        <v/>
      </c>
      <c r="E286" s="315" t="str">
        <f>VLOOKUP($A286,Questions!$A$3:$L$333,12,0)&amp;""</f>
        <v>Privacy</v>
      </c>
      <c r="F286" s="315" t="str">
        <f>VLOOKUP($A286,'Privacy Analyst Evaluation'!$A$46:$K$120,3,0)&amp;""</f>
        <v>Yes</v>
      </c>
      <c r="G286" s="315" t="str">
        <f>VLOOKUP($A286,'Privacy Analyst Evaluation'!$A$46:$K$120,7,0)&amp;""</f>
        <v>Yes</v>
      </c>
      <c r="H286" s="315" t="str">
        <f>VLOOKUP($A286,'Privacy Analyst Evaluation'!$A$46:$K$120,8,0)&amp;""</f>
        <v/>
      </c>
      <c r="I286" s="315" t="str">
        <f>VLOOKUP($A286,'Privacy Analyst Evaluation'!$A$46:$K$120,9,0)&amp;""</f>
        <v>Standard Importance</v>
      </c>
      <c r="J286" s="315" t="str">
        <f>VLOOKUP($A286,'Privacy Analyst Evaluation'!$A$46:$K$120,10,0)&amp;""</f>
        <v/>
      </c>
      <c r="K286" s="315">
        <f>IF($I286='Auto Responses'!$J$11,20,IF($I286='Auto Responses'!$J$13,5,10))</f>
        <v>10</v>
      </c>
      <c r="L286" s="284">
        <f>IF($E286='Auto Responses'!$L$13, 'Auto Responses'!$J$5,IF(AND($D286='Auto Responses'!$J$27,$H286=""),'Auto Responses'!$J$5,IF(AND($D286='Auto Responses'!$J$27,$H286='Auto Responses'!$J$7),1,IF(AND($D286='Auto Responses'!$J$27,$H286='Auto Responses'!$J$8),0,IF(OR(AND($F286=$G286,$H286=""),$H286='Auto Responses'!$J$7),1,0)))))</f>
        <v>1</v>
      </c>
      <c r="M286" s="315" t="str">
        <f>VLOOKUP($A286,'Privacy Analyst Evaluation'!$A$46:$K$120,11,0)&amp;""</f>
        <v>FALSCH</v>
      </c>
      <c r="N286" s="315">
        <f>IF($J286='Auto Responses'!$J$11,1,IF(AND($J286="",$I286='Auto Responses'!$J$11),1,0))</f>
        <v>0</v>
      </c>
      <c r="O286" s="284">
        <f>IF(OR($E286='Auto Responses'!$L$13,$F$24='Auto Responses'!$J$4,$F286='Auto Responses'!$J$5),'Auto Responses'!$J$5,IF($J286="",$K286,IF($J286='Auto Responses'!$J$13,5,IF($J286='Auto Responses'!$J$12,10,IF($J286='Auto Responses'!$J$11,20,0)))))</f>
        <v>10</v>
      </c>
      <c r="P286" s="284">
        <f>IF(OR($O286='Auto Responses'!$J$5,$L286='Auto Responses'!$J$5),'Auto Responses'!$J$5,$O286*$L286)</f>
        <v>10</v>
      </c>
      <c r="Q286" s="284">
        <f t="shared" si="29"/>
        <v>0</v>
      </c>
      <c r="R286" s="284">
        <f t="shared" si="33"/>
        <v>0</v>
      </c>
      <c r="S286" s="284">
        <f t="shared" si="30"/>
        <v>0</v>
      </c>
      <c r="T286" s="284">
        <f t="shared" si="31"/>
        <v>0</v>
      </c>
      <c r="U286" s="284">
        <f t="shared" si="34"/>
        <v>69</v>
      </c>
      <c r="V286" s="284">
        <f t="shared" si="32"/>
        <v>0</v>
      </c>
    </row>
    <row r="287" spans="1:22" ht="55.5" customHeight="1" x14ac:dyDescent="0.2">
      <c r="A287" s="315" t="str">
        <f>Questions!$A287</f>
        <v>DRPV-08</v>
      </c>
      <c r="B287" s="315" t="str">
        <f t="shared" si="28"/>
        <v>DRPV</v>
      </c>
      <c r="C287" s="315" t="str">
        <f>VLOOKUP($A287,Questions!$A$3:$L$333,2,0)&amp;""</f>
        <v>Do you disclose personal information to third parties only for the purpose(s) identified in the privacy notice or with the implicit or explicit consent of the individual?</v>
      </c>
      <c r="D287" s="315" t="str">
        <f>VLOOKUP($A287,Questions!$A$3:$L$333,11,0)&amp;""</f>
        <v/>
      </c>
      <c r="E287" s="315" t="str">
        <f>VLOOKUP($A287,Questions!$A$3:$L$333,12,0)&amp;""</f>
        <v>Privacy</v>
      </c>
      <c r="F287" s="315" t="str">
        <f>VLOOKUP($A287,'Privacy Analyst Evaluation'!$A$46:$K$120,3,0)&amp;""</f>
        <v>Yes</v>
      </c>
      <c r="G287" s="315" t="str">
        <f>VLOOKUP($A287,'Privacy Analyst Evaluation'!$A$46:$K$120,7,0)&amp;""</f>
        <v>Yes</v>
      </c>
      <c r="H287" s="315" t="str">
        <f>VLOOKUP($A287,'Privacy Analyst Evaluation'!$A$46:$K$120,8,0)&amp;""</f>
        <v/>
      </c>
      <c r="I287" s="315" t="str">
        <f>VLOOKUP($A287,'Privacy Analyst Evaluation'!$A$46:$K$120,9,0)&amp;""</f>
        <v>Standard Importance</v>
      </c>
      <c r="J287" s="315" t="str">
        <f>VLOOKUP($A287,'Privacy Analyst Evaluation'!$A$46:$K$120,10,0)&amp;""</f>
        <v/>
      </c>
      <c r="K287" s="315">
        <f>IF($I287='Auto Responses'!$J$11,20,IF($I287='Auto Responses'!$J$13,5,10))</f>
        <v>10</v>
      </c>
      <c r="L287" s="284">
        <f>IF($E287='Auto Responses'!$L$13, 'Auto Responses'!$J$5,IF(AND($D287='Auto Responses'!$J$27,$H287=""),'Auto Responses'!$J$5,IF(AND($D287='Auto Responses'!$J$27,$H287='Auto Responses'!$J$7),1,IF(AND($D287='Auto Responses'!$J$27,$H287='Auto Responses'!$J$8),0,IF(OR(AND($F287=$G287,$H287=""),$H287='Auto Responses'!$J$7),1,0)))))</f>
        <v>1</v>
      </c>
      <c r="M287" s="315" t="str">
        <f>VLOOKUP($A287,'Privacy Analyst Evaluation'!$A$46:$K$120,11,0)&amp;""</f>
        <v>FALSCH</v>
      </c>
      <c r="N287" s="315">
        <f>IF($J287='Auto Responses'!$J$11,1,IF(AND($J287="",$I287='Auto Responses'!$J$11),1,0))</f>
        <v>0</v>
      </c>
      <c r="O287" s="284">
        <f>IF(OR($E287='Auto Responses'!$L$13,$F$24='Auto Responses'!$J$4,$F287='Auto Responses'!$J$5),'Auto Responses'!$J$5,IF($J287="",$K287,IF($J287='Auto Responses'!$J$13,5,IF($J287='Auto Responses'!$J$12,10,IF($J287='Auto Responses'!$J$11,20,0)))))</f>
        <v>10</v>
      </c>
      <c r="P287" s="284">
        <f>IF(OR($O287='Auto Responses'!$J$5,$L287='Auto Responses'!$J$5),'Auto Responses'!$J$5,$O287*$L287)</f>
        <v>10</v>
      </c>
      <c r="Q287" s="284">
        <f t="shared" si="29"/>
        <v>0</v>
      </c>
      <c r="R287" s="284">
        <f t="shared" si="33"/>
        <v>0</v>
      </c>
      <c r="S287" s="284">
        <f t="shared" si="30"/>
        <v>0</v>
      </c>
      <c r="T287" s="284">
        <f t="shared" si="31"/>
        <v>0</v>
      </c>
      <c r="U287" s="284">
        <f t="shared" si="34"/>
        <v>69</v>
      </c>
      <c r="V287" s="284">
        <f t="shared" si="32"/>
        <v>0</v>
      </c>
    </row>
    <row r="288" spans="1:22" ht="55.5" customHeight="1" x14ac:dyDescent="0.2">
      <c r="A288" s="315" t="str">
        <f>Questions!$A288</f>
        <v>DRPV-09</v>
      </c>
      <c r="B288" s="315" t="str">
        <f t="shared" si="28"/>
        <v>DRPV</v>
      </c>
      <c r="C288" s="315" t="str">
        <f>VLOOKUP($A288,Questions!$A$3:$L$333,2,0)&amp;""</f>
        <v>Do you protect personal information against unauthorized access (both physical and logical)?</v>
      </c>
      <c r="D288" s="315" t="str">
        <f>VLOOKUP($A288,Questions!$A$3:$L$333,11,0)&amp;""</f>
        <v/>
      </c>
      <c r="E288" s="315" t="str">
        <f>VLOOKUP($A288,Questions!$A$3:$L$333,12,0)&amp;""</f>
        <v>Privacy</v>
      </c>
      <c r="F288" s="315" t="str">
        <f>VLOOKUP($A288,'Privacy Analyst Evaluation'!$A$46:$K$120,3,0)&amp;""</f>
        <v>Yes</v>
      </c>
      <c r="G288" s="315" t="str">
        <f>VLOOKUP($A288,'Privacy Analyst Evaluation'!$A$46:$K$120,7,0)&amp;""</f>
        <v>Yes</v>
      </c>
      <c r="H288" s="315" t="str">
        <f>VLOOKUP($A288,'Privacy Analyst Evaluation'!$A$46:$K$120,8,0)&amp;""</f>
        <v/>
      </c>
      <c r="I288" s="315" t="str">
        <f>VLOOKUP($A288,'Privacy Analyst Evaluation'!$A$46:$K$120,9,0)&amp;""</f>
        <v>Standard Importance</v>
      </c>
      <c r="J288" s="315" t="str">
        <f>VLOOKUP($A288,'Privacy Analyst Evaluation'!$A$46:$K$120,10,0)&amp;""</f>
        <v/>
      </c>
      <c r="K288" s="315">
        <f>IF($I288='Auto Responses'!$J$11,20,IF($I288='Auto Responses'!$J$13,5,10))</f>
        <v>10</v>
      </c>
      <c r="L288" s="284">
        <f>IF($E288='Auto Responses'!$L$13, 'Auto Responses'!$J$5,IF(AND($D288='Auto Responses'!$J$27,$H288=""),'Auto Responses'!$J$5,IF(AND($D288='Auto Responses'!$J$27,$H288='Auto Responses'!$J$7),1,IF(AND($D288='Auto Responses'!$J$27,$H288='Auto Responses'!$J$8),0,IF(OR(AND($F288=$G288,$H288=""),$H288='Auto Responses'!$J$7),1,0)))))</f>
        <v>1</v>
      </c>
      <c r="M288" s="315" t="str">
        <f>VLOOKUP($A288,'Privacy Analyst Evaluation'!$A$46:$K$120,11,0)&amp;""</f>
        <v>FALSCH</v>
      </c>
      <c r="N288" s="315">
        <f>IF($J288='Auto Responses'!$J$11,1,IF(AND($J288="",$I288='Auto Responses'!$J$11),1,0))</f>
        <v>0</v>
      </c>
      <c r="O288" s="284">
        <f>IF(OR($E288='Auto Responses'!$L$13,$F$24='Auto Responses'!$J$4,$F288='Auto Responses'!$J$5),'Auto Responses'!$J$5,IF($J288="",$K288,IF($J288='Auto Responses'!$J$13,5,IF($J288='Auto Responses'!$J$12,10,IF($J288='Auto Responses'!$J$11,20,0)))))</f>
        <v>10</v>
      </c>
      <c r="P288" s="284">
        <f>IF(OR($O288='Auto Responses'!$J$5,$L288='Auto Responses'!$J$5),'Auto Responses'!$J$5,$O288*$L288)</f>
        <v>10</v>
      </c>
      <c r="Q288" s="284">
        <f t="shared" si="29"/>
        <v>0</v>
      </c>
      <c r="R288" s="284">
        <f t="shared" si="33"/>
        <v>0</v>
      </c>
      <c r="S288" s="284">
        <f t="shared" si="30"/>
        <v>0</v>
      </c>
      <c r="T288" s="284">
        <f t="shared" si="31"/>
        <v>0</v>
      </c>
      <c r="U288" s="284">
        <f t="shared" si="34"/>
        <v>69</v>
      </c>
      <c r="V288" s="284">
        <f t="shared" si="32"/>
        <v>0</v>
      </c>
    </row>
    <row r="289" spans="1:22" ht="55.5" customHeight="1" x14ac:dyDescent="0.2">
      <c r="A289" s="315" t="str">
        <f>Questions!$A289</f>
        <v>DRPV-10</v>
      </c>
      <c r="B289" s="315" t="str">
        <f t="shared" si="28"/>
        <v>DRPV</v>
      </c>
      <c r="C289" s="315" t="str">
        <f>VLOOKUP($A289,Questions!$A$3:$L$333,2,0)&amp;""</f>
        <v>Do you maintain accurate, complete, and relevant personal information for the purposes identified in the privacy notice?</v>
      </c>
      <c r="D289" s="315" t="str">
        <f>VLOOKUP($A289,Questions!$A$3:$L$333,11,0)&amp;""</f>
        <v/>
      </c>
      <c r="E289" s="315" t="str">
        <f>VLOOKUP($A289,Questions!$A$3:$L$333,12,0)&amp;""</f>
        <v>Privacy</v>
      </c>
      <c r="F289" s="315" t="str">
        <f>VLOOKUP($A289,'Privacy Analyst Evaluation'!$A$46:$K$120,3,0)&amp;""</f>
        <v>Yes</v>
      </c>
      <c r="G289" s="315" t="str">
        <f>VLOOKUP($A289,'Privacy Analyst Evaluation'!$A$46:$K$120,7,0)&amp;""</f>
        <v>Yes</v>
      </c>
      <c r="H289" s="315" t="str">
        <f>VLOOKUP($A289,'Privacy Analyst Evaluation'!$A$46:$K$120,8,0)&amp;""</f>
        <v/>
      </c>
      <c r="I289" s="315" t="str">
        <f>VLOOKUP($A289,'Privacy Analyst Evaluation'!$A$46:$K$120,9,0)&amp;""</f>
        <v>Standard Importance</v>
      </c>
      <c r="J289" s="315" t="str">
        <f>VLOOKUP($A289,'Privacy Analyst Evaluation'!$A$46:$K$120,10,0)&amp;""</f>
        <v/>
      </c>
      <c r="K289" s="315">
        <f>IF($I289='Auto Responses'!$J$11,20,IF($I289='Auto Responses'!$J$13,5,10))</f>
        <v>10</v>
      </c>
      <c r="L289" s="284">
        <f>IF($E289='Auto Responses'!$L$13, 'Auto Responses'!$J$5,IF(AND($D289='Auto Responses'!$J$27,$H289=""),'Auto Responses'!$J$5,IF(AND($D289='Auto Responses'!$J$27,$H289='Auto Responses'!$J$7),1,IF(AND($D289='Auto Responses'!$J$27,$H289='Auto Responses'!$J$8),0,IF(OR(AND($F289=$G289,$H289=""),$H289='Auto Responses'!$J$7),1,0)))))</f>
        <v>1</v>
      </c>
      <c r="M289" s="315" t="str">
        <f>VLOOKUP($A289,'Privacy Analyst Evaluation'!$A$46:$K$120,11,0)&amp;""</f>
        <v>FALSCH</v>
      </c>
      <c r="N289" s="315">
        <f>IF($J289='Auto Responses'!$J$11,1,IF(AND($J289="",$I289='Auto Responses'!$J$11),1,0))</f>
        <v>0</v>
      </c>
      <c r="O289" s="284">
        <f>IF(OR($E289='Auto Responses'!$L$13,$F$24='Auto Responses'!$J$4,$F289='Auto Responses'!$J$5),'Auto Responses'!$J$5,IF($J289="",$K289,IF($J289='Auto Responses'!$J$13,5,IF($J289='Auto Responses'!$J$12,10,IF($J289='Auto Responses'!$J$11,20,0)))))</f>
        <v>10</v>
      </c>
      <c r="P289" s="284">
        <f>IF(OR($O289='Auto Responses'!$J$5,$L289='Auto Responses'!$J$5),'Auto Responses'!$J$5,$O289*$L289)</f>
        <v>10</v>
      </c>
      <c r="Q289" s="284">
        <f t="shared" si="29"/>
        <v>0</v>
      </c>
      <c r="R289" s="284">
        <f t="shared" si="33"/>
        <v>0</v>
      </c>
      <c r="S289" s="284">
        <f t="shared" si="30"/>
        <v>0</v>
      </c>
      <c r="T289" s="284">
        <f t="shared" si="31"/>
        <v>0</v>
      </c>
      <c r="U289" s="284">
        <f t="shared" si="34"/>
        <v>69</v>
      </c>
      <c r="V289" s="284">
        <f t="shared" si="32"/>
        <v>0</v>
      </c>
    </row>
    <row r="290" spans="1:22" ht="55.5" customHeight="1" x14ac:dyDescent="0.2">
      <c r="A290" s="315" t="str">
        <f>Questions!$A290</f>
        <v>DRPV-11</v>
      </c>
      <c r="B290" s="315" t="str">
        <f t="shared" si="28"/>
        <v>DRPV</v>
      </c>
      <c r="C290" s="315" t="str">
        <f>VLOOKUP($A290,Questions!$A$3:$L$333,2,0)&amp;""</f>
        <v>Do you have procedures to address privacy-related noncompliance complaints and disputes?</v>
      </c>
      <c r="D290" s="315" t="str">
        <f>VLOOKUP($A290,Questions!$A$3:$L$333,11,0)&amp;""</f>
        <v/>
      </c>
      <c r="E290" s="315" t="str">
        <f>VLOOKUP($A290,Questions!$A$3:$L$333,12,0)&amp;""</f>
        <v>Privacy</v>
      </c>
      <c r="F290" s="315" t="str">
        <f>VLOOKUP($A290,'Privacy Analyst Evaluation'!$A$46:$K$120,3,0)&amp;""</f>
        <v>No</v>
      </c>
      <c r="G290" s="315" t="str">
        <f>VLOOKUP($A290,'Privacy Analyst Evaluation'!$A$46:$K$120,7,0)&amp;""</f>
        <v>Yes</v>
      </c>
      <c r="H290" s="315" t="str">
        <f>VLOOKUP($A290,'Privacy Analyst Evaluation'!$A$46:$K$120,8,0)&amp;""</f>
        <v/>
      </c>
      <c r="I290" s="315" t="str">
        <f>VLOOKUP($A290,'Privacy Analyst Evaluation'!$A$46:$K$120,9,0)&amp;""</f>
        <v>Standard Importance</v>
      </c>
      <c r="J290" s="315" t="str">
        <f>VLOOKUP($A290,'Privacy Analyst Evaluation'!$A$46:$K$120,10,0)&amp;""</f>
        <v/>
      </c>
      <c r="K290" s="315">
        <f>IF($I290='Auto Responses'!$J$11,20,IF($I290='Auto Responses'!$J$13,5,10))</f>
        <v>10</v>
      </c>
      <c r="L290" s="284">
        <f>IF($E290='Auto Responses'!$L$13, 'Auto Responses'!$J$5,IF(AND($D290='Auto Responses'!$J$27,$H290=""),'Auto Responses'!$J$5,IF(AND($D290='Auto Responses'!$J$27,$H290='Auto Responses'!$J$7),1,IF(AND($D290='Auto Responses'!$J$27,$H290='Auto Responses'!$J$8),0,IF(OR(AND($F290=$G290,$H290=""),$H290='Auto Responses'!$J$7),1,0)))))</f>
        <v>0</v>
      </c>
      <c r="M290" s="315" t="str">
        <f>VLOOKUP($A290,'Privacy Analyst Evaluation'!$A$46:$K$120,11,0)&amp;""</f>
        <v>FALSCH</v>
      </c>
      <c r="N290" s="315">
        <f>IF($J290='Auto Responses'!$J$11,1,IF(AND($J290="",$I290='Auto Responses'!$J$11),1,0))</f>
        <v>0</v>
      </c>
      <c r="O290" s="284">
        <f>IF(OR($E290='Auto Responses'!$L$13,$F$24='Auto Responses'!$J$4,$F290='Auto Responses'!$J$5),'Auto Responses'!$J$5,IF($J290="",$K290,IF($J290='Auto Responses'!$J$13,5,IF($J290='Auto Responses'!$J$12,10,IF($J290='Auto Responses'!$J$11,20,0)))))</f>
        <v>10</v>
      </c>
      <c r="P290" s="284">
        <f>IF(OR($O290='Auto Responses'!$J$5,$L290='Auto Responses'!$J$5),'Auto Responses'!$J$5,$O290*$L290)</f>
        <v>0</v>
      </c>
      <c r="Q290" s="284">
        <f t="shared" si="29"/>
        <v>0</v>
      </c>
      <c r="R290" s="284">
        <f t="shared" si="33"/>
        <v>0</v>
      </c>
      <c r="S290" s="284">
        <f t="shared" si="30"/>
        <v>0</v>
      </c>
      <c r="T290" s="284">
        <f t="shared" si="31"/>
        <v>0</v>
      </c>
      <c r="U290" s="284">
        <f t="shared" si="34"/>
        <v>69</v>
      </c>
      <c r="V290" s="284">
        <f t="shared" si="32"/>
        <v>0</v>
      </c>
    </row>
    <row r="291" spans="1:22" ht="55.5" customHeight="1" x14ac:dyDescent="0.2">
      <c r="A291" s="315" t="str">
        <f>Questions!$A291</f>
        <v>DRPV-12</v>
      </c>
      <c r="B291" s="315" t="str">
        <f t="shared" si="28"/>
        <v>DRPV</v>
      </c>
      <c r="C291" s="315" t="str">
        <f>VLOOKUP($A291,Questions!$A$3:$L$333,2,0)&amp;""</f>
        <v>Do you "anonymize," "de-identify," or otherwise mask personal data?</v>
      </c>
      <c r="D291" s="315" t="str">
        <f>VLOOKUP($A291,Questions!$A$3:$L$333,11,0)&amp;""</f>
        <v/>
      </c>
      <c r="E291" s="315" t="str">
        <f>VLOOKUP($A291,Questions!$A$3:$L$333,12,0)&amp;""</f>
        <v>Privacy</v>
      </c>
      <c r="F291" s="315" t="str">
        <f>VLOOKUP($A291,'Privacy Analyst Evaluation'!$A$46:$K$120,3,0)&amp;""</f>
        <v>No</v>
      </c>
      <c r="G291" s="315" t="str">
        <f>VLOOKUP($A291,'Privacy Analyst Evaluation'!$A$46:$K$120,7,0)&amp;""</f>
        <v>Yes</v>
      </c>
      <c r="H291" s="315" t="str">
        <f>VLOOKUP($A291,'Privacy Analyst Evaluation'!$A$46:$K$120,8,0)&amp;""</f>
        <v/>
      </c>
      <c r="I291" s="315" t="str">
        <f>VLOOKUP($A291,'Privacy Analyst Evaluation'!$A$46:$K$120,9,0)&amp;""</f>
        <v>Standard Importance</v>
      </c>
      <c r="J291" s="315" t="str">
        <f>VLOOKUP($A291,'Privacy Analyst Evaluation'!$A$46:$K$120,10,0)&amp;""</f>
        <v/>
      </c>
      <c r="K291" s="315">
        <f>IF($I291='Auto Responses'!$J$11,20,IF($I291='Auto Responses'!$J$13,5,10))</f>
        <v>10</v>
      </c>
      <c r="L291" s="284">
        <f>IF($E291='Auto Responses'!$L$13, 'Auto Responses'!$J$5,IF(AND($D291='Auto Responses'!$J$27,$H291=""),'Auto Responses'!$J$5,IF(AND($D291='Auto Responses'!$J$27,$H291='Auto Responses'!$J$7),1,IF(AND($D291='Auto Responses'!$J$27,$H291='Auto Responses'!$J$8),0,IF(OR(AND($F291=$G291,$H291=""),$H291='Auto Responses'!$J$7),1,0)))))</f>
        <v>0</v>
      </c>
      <c r="M291" s="315" t="str">
        <f>VLOOKUP($A291,'Privacy Analyst Evaluation'!$A$46:$K$120,11,0)&amp;""</f>
        <v>FALSCH</v>
      </c>
      <c r="N291" s="315">
        <f>IF($J291='Auto Responses'!$J$11,1,IF(AND($J291="",$I291='Auto Responses'!$J$11),1,0))</f>
        <v>0</v>
      </c>
      <c r="O291" s="284">
        <f>IF(OR($E291='Auto Responses'!$L$13,$F$24='Auto Responses'!$J$4,$F291='Auto Responses'!$J$5),'Auto Responses'!$J$5,IF($J291="",$K291,IF($J291='Auto Responses'!$J$13,5,IF($J291='Auto Responses'!$J$12,10,IF($J291='Auto Responses'!$J$11,20,0)))))</f>
        <v>10</v>
      </c>
      <c r="P291" s="284">
        <f>IF(OR($O291='Auto Responses'!$J$5,$L291='Auto Responses'!$J$5),'Auto Responses'!$J$5,$O291*$L291)</f>
        <v>0</v>
      </c>
      <c r="Q291" s="284">
        <f t="shared" si="29"/>
        <v>0</v>
      </c>
      <c r="R291" s="284">
        <f t="shared" si="33"/>
        <v>0</v>
      </c>
      <c r="S291" s="284">
        <f t="shared" si="30"/>
        <v>0</v>
      </c>
      <c r="T291" s="284">
        <f t="shared" si="31"/>
        <v>0</v>
      </c>
      <c r="U291" s="284">
        <f t="shared" si="34"/>
        <v>69</v>
      </c>
      <c r="V291" s="284">
        <f t="shared" si="32"/>
        <v>0</v>
      </c>
    </row>
    <row r="292" spans="1:22" ht="97.5" customHeight="1" x14ac:dyDescent="0.2">
      <c r="A292" s="315" t="str">
        <f>Questions!$A292</f>
        <v>DRPV-13</v>
      </c>
      <c r="B292" s="315" t="str">
        <f t="shared" si="28"/>
        <v>DRPV</v>
      </c>
      <c r="C292" s="315"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315" t="str">
        <f>VLOOKUP($A292,Questions!$A$3:$L$333,11,0)&amp;""</f>
        <v/>
      </c>
      <c r="E292" s="315" t="str">
        <f>VLOOKUP($A292,Questions!$A$3:$L$333,12,0)&amp;""</f>
        <v>Privacy</v>
      </c>
      <c r="F292" s="315" t="str">
        <f>VLOOKUP($A292,'Privacy Analyst Evaluation'!$A$46:$K$120,3,0)&amp;""</f>
        <v>No</v>
      </c>
      <c r="G292" s="315" t="str">
        <f>VLOOKUP($A292,'Privacy Analyst Evaluation'!$A$46:$K$120,7,0)&amp;""</f>
        <v>No</v>
      </c>
      <c r="H292" s="315" t="str">
        <f>VLOOKUP($A292,'Privacy Analyst Evaluation'!$A$46:$K$120,8,0)&amp;""</f>
        <v/>
      </c>
      <c r="I292" s="315" t="str">
        <f>VLOOKUP($A292,'Privacy Analyst Evaluation'!$A$46:$K$120,9,0)&amp;""</f>
        <v>Standard Importance</v>
      </c>
      <c r="J292" s="315" t="str">
        <f>VLOOKUP($A292,'Privacy Analyst Evaluation'!$A$46:$K$120,10,0)&amp;""</f>
        <v/>
      </c>
      <c r="K292" s="315">
        <f>IF($I292='Auto Responses'!$J$11,20,IF($I292='Auto Responses'!$J$13,5,10))</f>
        <v>10</v>
      </c>
      <c r="L292" s="284">
        <f>IF($E292='Auto Responses'!$L$13, 'Auto Responses'!$J$5,IF(AND($D292='Auto Responses'!$J$27,$H292=""),'Auto Responses'!$J$5,IF(AND($D292='Auto Responses'!$J$27,$H292='Auto Responses'!$J$7),1,IF(AND($D292='Auto Responses'!$J$27,$H292='Auto Responses'!$J$8),0,IF(OR(AND($F292=$G292,$H292=""),$H292='Auto Responses'!$J$7),1,0)))))</f>
        <v>1</v>
      </c>
      <c r="M292" s="315" t="str">
        <f>VLOOKUP($A292,'Privacy Analyst Evaluation'!$A$46:$K$120,11,0)&amp;""</f>
        <v>FALSCH</v>
      </c>
      <c r="N292" s="315">
        <f>IF($J292='Auto Responses'!$J$11,1,IF(AND($J292="",$I292='Auto Responses'!$J$11),1,0))</f>
        <v>0</v>
      </c>
      <c r="O292" s="284">
        <f>IF(OR($E292='Auto Responses'!$L$13,$F$24='Auto Responses'!$J$4,$F292='Auto Responses'!$J$5),'Auto Responses'!$J$5,IF($J292="",$K292,IF($J292='Auto Responses'!$J$13,5,IF($J292='Auto Responses'!$J$12,10,IF($J292='Auto Responses'!$J$11,20,0)))))</f>
        <v>10</v>
      </c>
      <c r="P292" s="284">
        <f>IF(OR($O292='Auto Responses'!$J$5,$L292='Auto Responses'!$J$5),'Auto Responses'!$J$5,$O292*$L292)</f>
        <v>10</v>
      </c>
      <c r="Q292" s="284">
        <f t="shared" si="29"/>
        <v>0</v>
      </c>
      <c r="R292" s="284">
        <f t="shared" si="33"/>
        <v>0</v>
      </c>
      <c r="S292" s="284">
        <f t="shared" si="30"/>
        <v>0</v>
      </c>
      <c r="T292" s="284">
        <f t="shared" si="31"/>
        <v>0</v>
      </c>
      <c r="U292" s="284">
        <f t="shared" si="34"/>
        <v>69</v>
      </c>
      <c r="V292" s="284">
        <f t="shared" si="32"/>
        <v>0</v>
      </c>
    </row>
    <row r="293" spans="1:22" ht="55.5" customHeight="1" x14ac:dyDescent="0.2">
      <c r="A293" s="315" t="str">
        <f>Questions!$A293</f>
        <v>DRPV-14</v>
      </c>
      <c r="B293" s="315" t="str">
        <f t="shared" si="28"/>
        <v>DRPV</v>
      </c>
      <c r="C293" s="315" t="str">
        <f>VLOOKUP($A293,Questions!$A$3:$L$333,2,0)&amp;""</f>
        <v>Do you certify stop-processing requests, including any data that is processed by a third party on your behalf?</v>
      </c>
      <c r="D293" s="315" t="str">
        <f>VLOOKUP($A293,Questions!$A$3:$L$333,11,0)&amp;""</f>
        <v/>
      </c>
      <c r="E293" s="315" t="str">
        <f>VLOOKUP($A293,Questions!$A$3:$L$333,12,0)&amp;""</f>
        <v>Privacy</v>
      </c>
      <c r="F293" s="315" t="str">
        <f>VLOOKUP($A293,'Privacy Analyst Evaluation'!$A$46:$K$120,3,0)&amp;""</f>
        <v>Yes</v>
      </c>
      <c r="G293" s="315" t="str">
        <f>VLOOKUP($A293,'Privacy Analyst Evaluation'!$A$46:$K$120,7,0)&amp;""</f>
        <v>Yes</v>
      </c>
      <c r="H293" s="315" t="str">
        <f>VLOOKUP($A293,'Privacy Analyst Evaluation'!$A$46:$K$120,8,0)&amp;""</f>
        <v/>
      </c>
      <c r="I293" s="315" t="str">
        <f>VLOOKUP($A293,'Privacy Analyst Evaluation'!$A$46:$K$120,9,0)&amp;""</f>
        <v>Standard Importance</v>
      </c>
      <c r="J293" s="315" t="str">
        <f>VLOOKUP($A293,'Privacy Analyst Evaluation'!$A$46:$K$120,10,0)&amp;""</f>
        <v/>
      </c>
      <c r="K293" s="315">
        <f>IF($I293='Auto Responses'!$J$11,20,IF($I293='Auto Responses'!$J$13,5,10))</f>
        <v>10</v>
      </c>
      <c r="L293" s="284">
        <f>IF($E293='Auto Responses'!$L$13, 'Auto Responses'!$J$5,IF(AND($D293='Auto Responses'!$J$27,$H293=""),'Auto Responses'!$J$5,IF(AND($D293='Auto Responses'!$J$27,$H293='Auto Responses'!$J$7),1,IF(AND($D293='Auto Responses'!$J$27,$H293='Auto Responses'!$J$8),0,IF(OR(AND($F293=$G293,$H293=""),$H293='Auto Responses'!$J$7),1,0)))))</f>
        <v>1</v>
      </c>
      <c r="M293" s="315" t="str">
        <f>VLOOKUP($A293,'Privacy Analyst Evaluation'!$A$46:$K$120,11,0)&amp;""</f>
        <v>FALSCH</v>
      </c>
      <c r="N293" s="315">
        <f>IF($J293='Auto Responses'!$J$11,1,IF(AND($J293="",$I293='Auto Responses'!$J$11),1,0))</f>
        <v>0</v>
      </c>
      <c r="O293" s="284">
        <f>IF(OR($E293='Auto Responses'!$L$13,$F$24='Auto Responses'!$J$4,$F293='Auto Responses'!$J$5),'Auto Responses'!$J$5,IF($J293="",$K293,IF($J293='Auto Responses'!$J$13,5,IF($J293='Auto Responses'!$J$12,10,IF($J293='Auto Responses'!$J$11,20,0)))))</f>
        <v>10</v>
      </c>
      <c r="P293" s="284">
        <f>IF(OR($O293='Auto Responses'!$J$5,$L293='Auto Responses'!$J$5),'Auto Responses'!$J$5,$O293*$L293)</f>
        <v>10</v>
      </c>
      <c r="Q293" s="284">
        <f t="shared" si="29"/>
        <v>0</v>
      </c>
      <c r="R293" s="284">
        <f t="shared" si="33"/>
        <v>0</v>
      </c>
      <c r="S293" s="284">
        <f t="shared" si="30"/>
        <v>0</v>
      </c>
      <c r="T293" s="284">
        <f t="shared" si="31"/>
        <v>0</v>
      </c>
      <c r="U293" s="284">
        <f t="shared" si="34"/>
        <v>69</v>
      </c>
      <c r="V293" s="284">
        <f t="shared" si="32"/>
        <v>0</v>
      </c>
    </row>
    <row r="294" spans="1:22" ht="55.5" customHeight="1" x14ac:dyDescent="0.2">
      <c r="A294" s="315" t="str">
        <f>Questions!$A294</f>
        <v>DRPV-15</v>
      </c>
      <c r="B294" s="315" t="str">
        <f t="shared" si="28"/>
        <v>DRPV</v>
      </c>
      <c r="C294" s="315" t="str">
        <f>VLOOKUP($A294,Questions!$A$3:$L$333,2,0)&amp;""</f>
        <v>Do you have a process to review code for ethical considerations?</v>
      </c>
      <c r="D294" s="315" t="str">
        <f>VLOOKUP($A294,Questions!$A$3:$L$333,11,0)&amp;""</f>
        <v/>
      </c>
      <c r="E294" s="315" t="str">
        <f>VLOOKUP($A294,Questions!$A$3:$L$333,12,0)&amp;""</f>
        <v>Privacy</v>
      </c>
      <c r="F294" s="315" t="str">
        <f>VLOOKUP($A294,'Privacy Analyst Evaluation'!$A$46:$K$120,3,0)&amp;""</f>
        <v>No</v>
      </c>
      <c r="G294" s="315" t="str">
        <f>VLOOKUP($A294,'Privacy Analyst Evaluation'!$A$46:$K$120,7,0)&amp;""</f>
        <v>Yes</v>
      </c>
      <c r="H294" s="315" t="str">
        <f>VLOOKUP($A294,'Privacy Analyst Evaluation'!$A$46:$K$120,8,0)&amp;""</f>
        <v/>
      </c>
      <c r="I294" s="315" t="str">
        <f>VLOOKUP($A294,'Privacy Analyst Evaluation'!$A$46:$K$120,9,0)&amp;""</f>
        <v>Standard Importance</v>
      </c>
      <c r="J294" s="315" t="str">
        <f>VLOOKUP($A294,'Privacy Analyst Evaluation'!$A$46:$K$120,10,0)&amp;""</f>
        <v/>
      </c>
      <c r="K294" s="315">
        <f>IF($I294='Auto Responses'!$J$11,20,IF($I294='Auto Responses'!$J$13,5,10))</f>
        <v>10</v>
      </c>
      <c r="L294" s="284">
        <f>IF($E294='Auto Responses'!$L$13, 'Auto Responses'!$J$5,IF(AND($D294='Auto Responses'!$J$27,$H294=""),'Auto Responses'!$J$5,IF(AND($D294='Auto Responses'!$J$27,$H294='Auto Responses'!$J$7),1,IF(AND($D294='Auto Responses'!$J$27,$H294='Auto Responses'!$J$8),0,IF(OR(AND($F294=$G294,$H294=""),$H294='Auto Responses'!$J$7),1,0)))))</f>
        <v>0</v>
      </c>
      <c r="M294" s="315" t="str">
        <f>VLOOKUP($A294,'Privacy Analyst Evaluation'!$A$46:$K$120,11,0)&amp;""</f>
        <v>FALSCH</v>
      </c>
      <c r="N294" s="315">
        <f>IF($J294='Auto Responses'!$J$11,1,IF(AND($J294="",$I294='Auto Responses'!$J$11),1,0))</f>
        <v>0</v>
      </c>
      <c r="O294" s="284">
        <f>IF(OR($E294='Auto Responses'!$L$13,$F$24='Auto Responses'!$J$4,$F294='Auto Responses'!$J$5),'Auto Responses'!$J$5,IF($J294="",$K294,IF($J294='Auto Responses'!$J$13,5,IF($J294='Auto Responses'!$J$12,10,IF($J294='Auto Responses'!$J$11,20,0)))))</f>
        <v>10</v>
      </c>
      <c r="P294" s="284">
        <f>IF(OR($O294='Auto Responses'!$J$5,$L294='Auto Responses'!$J$5),'Auto Responses'!$J$5,$O294*$L294)</f>
        <v>0</v>
      </c>
      <c r="Q294" s="284">
        <f t="shared" si="29"/>
        <v>0</v>
      </c>
      <c r="R294" s="284">
        <f t="shared" si="33"/>
        <v>0</v>
      </c>
      <c r="S294" s="284">
        <f t="shared" si="30"/>
        <v>0</v>
      </c>
      <c r="T294" s="284">
        <f t="shared" si="31"/>
        <v>0</v>
      </c>
      <c r="U294" s="284">
        <f t="shared" si="34"/>
        <v>69</v>
      </c>
      <c r="V294" s="284">
        <f t="shared" si="32"/>
        <v>0</v>
      </c>
    </row>
    <row r="295" spans="1:22" ht="55.5" customHeight="1" x14ac:dyDescent="0.2">
      <c r="A295" s="315" t="str">
        <f>Questions!$A295</f>
        <v>DPAI-01</v>
      </c>
      <c r="B295" s="315" t="str">
        <f t="shared" si="28"/>
        <v>DPAI</v>
      </c>
      <c r="C295" s="315" t="str">
        <f>VLOOKUP($A295,Questions!$A$3:$L$333,2,0)&amp;""</f>
        <v>Does your service use AI for the processing of institutional data?</v>
      </c>
      <c r="D295" s="315" t="str">
        <f>VLOOKUP($A295,Questions!$A$3:$L$333,11,0)&amp;""</f>
        <v/>
      </c>
      <c r="E295" s="315" t="str">
        <f>VLOOKUP($A295,Questions!$A$3:$L$333,12,0)&amp;""</f>
        <v>Privacy</v>
      </c>
      <c r="F295" s="315" t="str">
        <f>VLOOKUP($A295,'Privacy Analyst Evaluation'!$A$46:$K$120,3,0)&amp;""</f>
        <v>N/A</v>
      </c>
      <c r="G295" s="315" t="str">
        <f>VLOOKUP($A295,'Privacy Analyst Evaluation'!$A$46:$K$120,7,0)&amp;""</f>
        <v>No</v>
      </c>
      <c r="H295" s="315" t="str">
        <f>VLOOKUP($A295,'Privacy Analyst Evaluation'!$A$46:$K$120,8,0)&amp;""</f>
        <v/>
      </c>
      <c r="I295" s="315" t="str">
        <f>VLOOKUP($A295,'Privacy Analyst Evaluation'!$A$46:$K$120,9,0)&amp;""</f>
        <v>Standard Importance</v>
      </c>
      <c r="J295" s="315" t="str">
        <f>VLOOKUP($A295,'Privacy Analyst Evaluation'!$A$46:$K$120,10,0)&amp;""</f>
        <v/>
      </c>
      <c r="K295" s="315">
        <f>IF($I295='Auto Responses'!$J$11,20,IF($I295='Auto Responses'!$J$13,5,10))</f>
        <v>10</v>
      </c>
      <c r="L295" s="284">
        <f>IF($E295='Auto Responses'!$L$13, 'Auto Responses'!$J$5,IF(AND($D295='Auto Responses'!$J$27,$H295=""),'Auto Responses'!$J$5,IF(AND($D295='Auto Responses'!$J$27,$H295='Auto Responses'!$J$7),1,IF(AND($D295='Auto Responses'!$J$27,$H295='Auto Responses'!$J$8),0,IF(OR(AND($F295=$G295,$H295=""),$H295='Auto Responses'!$J$7),1,0)))))</f>
        <v>0</v>
      </c>
      <c r="M295" s="315" t="str">
        <f>VLOOKUP($A295,'Privacy Analyst Evaluation'!$A$46:$K$120,11,0)&amp;""</f>
        <v>FALSCH</v>
      </c>
      <c r="N295" s="315">
        <f>IF($J295='Auto Responses'!$J$11,1,IF(AND($J295="",$I295='Auto Responses'!$J$11),1,0))</f>
        <v>0</v>
      </c>
      <c r="O295" s="284" t="str">
        <f>IF(OR($F$20='Auto Responses'!$J$4,$E295='Auto Responses'!$L$13,$F295='Auto Responses'!$J$5,$F$24='Auto Responses'!$J$4),'Auto Responses'!$J$5,IF($J295="",$K295,IF($J295='Auto Responses'!$J$13,5,IF($J295='Auto Responses'!$J$12,10,IF($J295='Auto Responses'!$J$11,20,0)))))</f>
        <v>N/A</v>
      </c>
      <c r="P295" s="284" t="str">
        <f>IF(OR($O295='Auto Responses'!$J$5,$L295='Auto Responses'!$J$5),'Auto Responses'!$J$5,$O295*$L295)</f>
        <v>N/A</v>
      </c>
      <c r="Q295" s="284">
        <f t="shared" si="29"/>
        <v>0</v>
      </c>
      <c r="R295" s="284">
        <f t="shared" si="33"/>
        <v>0</v>
      </c>
      <c r="S295" s="284">
        <f t="shared" si="30"/>
        <v>0</v>
      </c>
      <c r="T295" s="284">
        <f t="shared" si="31"/>
        <v>0</v>
      </c>
      <c r="U295" s="284">
        <f t="shared" si="34"/>
        <v>69</v>
      </c>
      <c r="V295" s="284">
        <f t="shared" si="32"/>
        <v>0</v>
      </c>
    </row>
    <row r="296" spans="1:22" ht="55.5" customHeight="1" x14ac:dyDescent="0.2">
      <c r="A296" s="315" t="str">
        <f>Questions!$A296</f>
        <v>DPAI-02</v>
      </c>
      <c r="B296" s="315" t="str">
        <f t="shared" si="28"/>
        <v>DPAI</v>
      </c>
      <c r="C296" s="315" t="str">
        <f>VLOOKUP($A296,Questions!$A$3:$L$333,2,0)&amp;""</f>
        <v>Is any institutional data retained in AI processing?*</v>
      </c>
      <c r="D296" s="315" t="str">
        <f>VLOOKUP($A296,Questions!$A$3:$L$333,11,0)&amp;""</f>
        <v/>
      </c>
      <c r="E296" s="315" t="str">
        <f>VLOOKUP($A296,Questions!$A$3:$L$333,12,0)&amp;""</f>
        <v>Privacy</v>
      </c>
      <c r="F296" s="315" t="str">
        <f>VLOOKUP($A296,'Privacy Analyst Evaluation'!$A$46:$K$120,3,0)&amp;""</f>
        <v>N/A</v>
      </c>
      <c r="G296" s="315" t="str">
        <f>VLOOKUP($A296,'Privacy Analyst Evaluation'!$A$46:$K$120,7,0)&amp;""</f>
        <v>No</v>
      </c>
      <c r="H296" s="315" t="str">
        <f>VLOOKUP($A296,'Privacy Analyst Evaluation'!$A$46:$K$120,8,0)&amp;""</f>
        <v/>
      </c>
      <c r="I296" s="315" t="str">
        <f>VLOOKUP($A296,'Privacy Analyst Evaluation'!$A$46:$K$120,9,0)&amp;""</f>
        <v>Critical Importance</v>
      </c>
      <c r="J296" s="315" t="str">
        <f>VLOOKUP($A296,'Privacy Analyst Evaluation'!$A$46:$K$120,10,0)&amp;""</f>
        <v/>
      </c>
      <c r="K296" s="315">
        <f>IF($I296='Auto Responses'!$J$11,20,IF($I296='Auto Responses'!$J$13,5,10))</f>
        <v>20</v>
      </c>
      <c r="L296" s="284">
        <f>IF($E296='Auto Responses'!$L$13, 'Auto Responses'!$J$5,IF(AND($D296='Auto Responses'!$J$27,$H296=""),'Auto Responses'!$J$5,IF(AND($D296='Auto Responses'!$J$27,$H296='Auto Responses'!$J$7),1,IF(AND($D296='Auto Responses'!$J$27,$H296='Auto Responses'!$J$8),0,IF(OR(AND($F296=$G296,$H296=""),$H296='Auto Responses'!$J$7),1,0)))))</f>
        <v>0</v>
      </c>
      <c r="M296" s="315" t="str">
        <f>VLOOKUP($A296,'Privacy Analyst Evaluation'!$A$46:$K$120,11,0)&amp;""</f>
        <v>FALSCH</v>
      </c>
      <c r="N296" s="315">
        <f>IF($J296='Auto Responses'!$J$11,1,IF(AND($J296="",$I296='Auto Responses'!$J$11),1,0))</f>
        <v>1</v>
      </c>
      <c r="O296" s="284" t="str">
        <f>IF(OR($F$20='Auto Responses'!$J$4,$E296='Auto Responses'!$L$13,$F296='Auto Responses'!$J$5,$F$24='Auto Responses'!$J$4),'Auto Responses'!$J$5,IF($J296="",$K296,IF($J296='Auto Responses'!$J$13,5,IF($J296='Auto Responses'!$J$12,10,IF($J296='Auto Responses'!$J$11,20,0)))))</f>
        <v>N/A</v>
      </c>
      <c r="P296" s="284" t="str">
        <f>IF(OR($O296='Auto Responses'!$J$5,$L296='Auto Responses'!$J$5),'Auto Responses'!$J$5,$O296*$L296)</f>
        <v>N/A</v>
      </c>
      <c r="Q296" s="284">
        <f t="shared" si="29"/>
        <v>0</v>
      </c>
      <c r="R296" s="284">
        <f t="shared" si="33"/>
        <v>0</v>
      </c>
      <c r="S296" s="284">
        <f t="shared" si="30"/>
        <v>0</v>
      </c>
      <c r="T296" s="284">
        <f t="shared" si="31"/>
        <v>1</v>
      </c>
      <c r="U296" s="284">
        <f t="shared" si="34"/>
        <v>70</v>
      </c>
      <c r="V296" s="284">
        <f t="shared" si="32"/>
        <v>70</v>
      </c>
    </row>
    <row r="297" spans="1:22" ht="55.5" customHeight="1" x14ac:dyDescent="0.2">
      <c r="A297" s="315" t="str">
        <f>Questions!$A297</f>
        <v>DPAI-03</v>
      </c>
      <c r="B297" s="315" t="str">
        <f t="shared" si="28"/>
        <v>DPAI</v>
      </c>
      <c r="C297" s="315" t="str">
        <f>VLOOKUP($A297,Questions!$A$3:$L$333,2,0)&amp;""</f>
        <v>Do you have agreements in place with third parties or subprocessors regarding the protection of customer data and use of AI?*</v>
      </c>
      <c r="D297" s="315" t="str">
        <f>VLOOKUP($A297,Questions!$A$3:$L$333,11,0)&amp;""</f>
        <v/>
      </c>
      <c r="E297" s="315" t="str">
        <f>VLOOKUP($A297,Questions!$A$3:$L$333,12,0)&amp;""</f>
        <v>Privacy</v>
      </c>
      <c r="F297" s="315" t="str">
        <f>VLOOKUP($A297,'Privacy Analyst Evaluation'!$A$46:$K$120,3,0)&amp;""</f>
        <v>N/A</v>
      </c>
      <c r="G297" s="315" t="str">
        <f>VLOOKUP($A297,'Privacy Analyst Evaluation'!$A$46:$K$120,7,0)&amp;""</f>
        <v>Yes</v>
      </c>
      <c r="H297" s="315" t="str">
        <f>VLOOKUP($A297,'Privacy Analyst Evaluation'!$A$46:$K$120,8,0)&amp;""</f>
        <v/>
      </c>
      <c r="I297" s="315" t="str">
        <f>VLOOKUP($A297,'Privacy Analyst Evaluation'!$A$46:$K$120,9,0)&amp;""</f>
        <v>Critical Importance</v>
      </c>
      <c r="J297" s="315" t="str">
        <f>VLOOKUP($A297,'Privacy Analyst Evaluation'!$A$46:$K$120,10,0)&amp;""</f>
        <v/>
      </c>
      <c r="K297" s="315">
        <f>IF($I297='Auto Responses'!$J$11,20,IF($I297='Auto Responses'!$J$13,5,10))</f>
        <v>20</v>
      </c>
      <c r="L297" s="284">
        <f>IF($E297='Auto Responses'!$L$13, 'Auto Responses'!$J$5,IF(AND($D297='Auto Responses'!$J$27,$H297=""),'Auto Responses'!$J$5,IF(AND($D297='Auto Responses'!$J$27,$H297='Auto Responses'!$J$7),1,IF(AND($D297='Auto Responses'!$J$27,$H297='Auto Responses'!$J$8),0,IF(OR(AND($F297=$G297,$H297=""),$H297='Auto Responses'!$J$7),1,0)))))</f>
        <v>0</v>
      </c>
      <c r="M297" s="315" t="str">
        <f>VLOOKUP($A297,'Privacy Analyst Evaluation'!$A$46:$K$120,11,0)&amp;""</f>
        <v>FALSCH</v>
      </c>
      <c r="N297" s="315">
        <f>IF($J297='Auto Responses'!$J$11,1,IF(AND($J297="",$I297='Auto Responses'!$J$11),1,0))</f>
        <v>1</v>
      </c>
      <c r="O297" s="284" t="str">
        <f>IF(OR($F$20='Auto Responses'!$J$4,$E297='Auto Responses'!$L$13,$F297='Auto Responses'!$J$5,$F$24='Auto Responses'!$J$4),'Auto Responses'!$J$5,IF($J297="",$K297,IF($J297='Auto Responses'!$J$13,5,IF($J297='Auto Responses'!$J$12,10,IF($J297='Auto Responses'!$J$11,20,0)))))</f>
        <v>N/A</v>
      </c>
      <c r="P297" s="284" t="str">
        <f>IF(OR($O297='Auto Responses'!$J$5,$L297='Auto Responses'!$J$5),'Auto Responses'!$J$5,$O297*$L297)</f>
        <v>N/A</v>
      </c>
      <c r="Q297" s="284">
        <f t="shared" si="29"/>
        <v>0</v>
      </c>
      <c r="R297" s="284">
        <f t="shared" si="33"/>
        <v>0</v>
      </c>
      <c r="S297" s="284">
        <f t="shared" si="30"/>
        <v>0</v>
      </c>
      <c r="T297" s="284">
        <f t="shared" si="31"/>
        <v>1</v>
      </c>
      <c r="U297" s="284">
        <f t="shared" si="34"/>
        <v>71</v>
      </c>
      <c r="V297" s="284">
        <f t="shared" si="32"/>
        <v>71</v>
      </c>
    </row>
    <row r="298" spans="1:22" ht="55.5" customHeight="1" x14ac:dyDescent="0.2">
      <c r="A298" s="315" t="str">
        <f>Questions!$A298</f>
        <v>DPAI-04</v>
      </c>
      <c r="B298" s="315" t="str">
        <f t="shared" si="28"/>
        <v>DPAI</v>
      </c>
      <c r="C298" s="315" t="str">
        <f>VLOOKUP($A298,Questions!$A$3:$L$333,2,0)&amp;""</f>
        <v>Will institutional data be processed through a third party or subprocessor that also uses AI?</v>
      </c>
      <c r="D298" s="315" t="str">
        <f>VLOOKUP($A298,Questions!$A$3:$L$333,11,0)&amp;""</f>
        <v/>
      </c>
      <c r="E298" s="315" t="str">
        <f>VLOOKUP($A298,Questions!$A$3:$L$333,12,0)&amp;""</f>
        <v>Privacy</v>
      </c>
      <c r="F298" s="315" t="str">
        <f>VLOOKUP($A298,'Privacy Analyst Evaluation'!$A$46:$K$120,3,0)&amp;""</f>
        <v>N/A</v>
      </c>
      <c r="G298" s="315" t="str">
        <f>VLOOKUP($A298,'Privacy Analyst Evaluation'!$A$46:$K$120,7,0)&amp;""</f>
        <v>No</v>
      </c>
      <c r="H298" s="315" t="str">
        <f>VLOOKUP($A298,'Privacy Analyst Evaluation'!$A$46:$K$120,8,0)&amp;""</f>
        <v/>
      </c>
      <c r="I298" s="315" t="str">
        <f>VLOOKUP($A298,'Privacy Analyst Evaluation'!$A$46:$K$120,9,0)&amp;""</f>
        <v>Standard Importance</v>
      </c>
      <c r="J298" s="315" t="str">
        <f>VLOOKUP($A298,'Privacy Analyst Evaluation'!$A$46:$K$120,10,0)&amp;""</f>
        <v/>
      </c>
      <c r="K298" s="315">
        <f>IF($I298='Auto Responses'!$J$11,20,IF($I298='Auto Responses'!$J$13,5,10))</f>
        <v>10</v>
      </c>
      <c r="L298" s="284">
        <f>IF($E298='Auto Responses'!$L$13, 'Auto Responses'!$J$5,IF(AND($D298='Auto Responses'!$J$27,$H298=""),'Auto Responses'!$J$5,IF(AND($D298='Auto Responses'!$J$27,$H298='Auto Responses'!$J$7),1,IF(AND($D298='Auto Responses'!$J$27,$H298='Auto Responses'!$J$8),0,IF(OR(AND($F298=$G298,$H298=""),$H298='Auto Responses'!$J$7),1,0)))))</f>
        <v>0</v>
      </c>
      <c r="M298" s="315" t="str">
        <f>VLOOKUP($A298,'Privacy Analyst Evaluation'!$A$46:$K$120,11,0)&amp;""</f>
        <v>FALSCH</v>
      </c>
      <c r="N298" s="315">
        <f>IF($J298='Auto Responses'!$J$11,1,IF(AND($J298="",$I298='Auto Responses'!$J$11),1,0))</f>
        <v>0</v>
      </c>
      <c r="O298" s="284" t="str">
        <f>IF(OR($F$20='Auto Responses'!$J$4,$E298='Auto Responses'!$L$13,$F298='Auto Responses'!$J$5,$F$24='Auto Responses'!$J$4),'Auto Responses'!$J$5,IF($J298="",$K298,IF($J298='Auto Responses'!$J$13,5,IF($J298='Auto Responses'!$J$12,10,IF($J298='Auto Responses'!$J$11,20,0)))))</f>
        <v>N/A</v>
      </c>
      <c r="P298" s="284" t="str">
        <f>IF(OR($O298='Auto Responses'!$J$5,$L298='Auto Responses'!$J$5),'Auto Responses'!$J$5,$O298*$L298)</f>
        <v>N/A</v>
      </c>
      <c r="Q298" s="284">
        <f t="shared" si="29"/>
        <v>0</v>
      </c>
      <c r="R298" s="284">
        <f t="shared" si="33"/>
        <v>0</v>
      </c>
      <c r="S298" s="284">
        <f t="shared" si="30"/>
        <v>0</v>
      </c>
      <c r="T298" s="284">
        <f t="shared" si="31"/>
        <v>0</v>
      </c>
      <c r="U298" s="284">
        <f t="shared" si="34"/>
        <v>71</v>
      </c>
      <c r="V298" s="284">
        <f t="shared" si="32"/>
        <v>0</v>
      </c>
    </row>
    <row r="299" spans="1:22" ht="55.5" customHeight="1" x14ac:dyDescent="0.2">
      <c r="A299" s="315" t="str">
        <f>Questions!$A299</f>
        <v>DPAI-05</v>
      </c>
      <c r="B299" s="315" t="str">
        <f t="shared" si="28"/>
        <v>DPAI</v>
      </c>
      <c r="C299" s="315" t="str">
        <f>VLOOKUP($A299,Questions!$A$3:$L$333,2,0)&amp;""</f>
        <v>Is AI processing limited to fully licensed commercial enterprise AI services?</v>
      </c>
      <c r="D299" s="315" t="str">
        <f>VLOOKUP($A299,Questions!$A$3:$L$333,11,0)&amp;""</f>
        <v/>
      </c>
      <c r="E299" s="315" t="str">
        <f>VLOOKUP($A299,Questions!$A$3:$L$333,12,0)&amp;""</f>
        <v>Privacy</v>
      </c>
      <c r="F299" s="315" t="str">
        <f>VLOOKUP($A299,'Privacy Analyst Evaluation'!$A$46:$K$120,3,0)&amp;""</f>
        <v>N/A</v>
      </c>
      <c r="G299" s="315" t="str">
        <f>VLOOKUP($A299,'Privacy Analyst Evaluation'!$A$46:$K$120,7,0)&amp;""</f>
        <v>Yes</v>
      </c>
      <c r="H299" s="315" t="str">
        <f>VLOOKUP($A299,'Privacy Analyst Evaluation'!$A$46:$K$120,8,0)&amp;""</f>
        <v/>
      </c>
      <c r="I299" s="315" t="str">
        <f>VLOOKUP($A299,'Privacy Analyst Evaluation'!$A$46:$K$120,9,0)&amp;""</f>
        <v>Minor Importance</v>
      </c>
      <c r="J299" s="315" t="str">
        <f>VLOOKUP($A299,'Privacy Analyst Evaluation'!$A$46:$K$120,10,0)&amp;""</f>
        <v/>
      </c>
      <c r="K299" s="315">
        <f>IF($I299='Auto Responses'!$J$11,20,IF($I299='Auto Responses'!$J$13,5,10))</f>
        <v>5</v>
      </c>
      <c r="L299" s="284">
        <f>IF($E299='Auto Responses'!$L$13, 'Auto Responses'!$J$5,IF(AND($D299='Auto Responses'!$J$27,$H299=""),'Auto Responses'!$J$5,IF(AND($D299='Auto Responses'!$J$27,$H299='Auto Responses'!$J$7),1,IF(AND($D299='Auto Responses'!$J$27,$H299='Auto Responses'!$J$8),0,IF(OR(AND($F299=$G299,$H299=""),$H299='Auto Responses'!$J$7),1,0)))))</f>
        <v>0</v>
      </c>
      <c r="M299" s="315" t="str">
        <f>VLOOKUP($A299,'Privacy Analyst Evaluation'!$A$46:$K$120,11,0)&amp;""</f>
        <v>FALSCH</v>
      </c>
      <c r="N299" s="315">
        <f>IF($J299='Auto Responses'!$J$11,1,IF(AND($J299="",$I299='Auto Responses'!$J$11),1,0))</f>
        <v>0</v>
      </c>
      <c r="O299" s="284" t="str">
        <f>IF(OR($F$20='Auto Responses'!$J$4,$E299='Auto Responses'!$L$13,$F299='Auto Responses'!$J$5,$F$24='Auto Responses'!$J$4),'Auto Responses'!$J$5,IF($J299="",$K299,IF($J299='Auto Responses'!$J$13,5,IF($J299='Auto Responses'!$J$12,10,IF($J299='Auto Responses'!$J$11,20,0)))))</f>
        <v>N/A</v>
      </c>
      <c r="P299" s="284" t="str">
        <f>IF(OR($O299='Auto Responses'!$J$5,$L299='Auto Responses'!$J$5),'Auto Responses'!$J$5,$O299*$L299)</f>
        <v>N/A</v>
      </c>
      <c r="Q299" s="284">
        <f t="shared" si="29"/>
        <v>0</v>
      </c>
      <c r="R299" s="284">
        <f t="shared" si="33"/>
        <v>0</v>
      </c>
      <c r="S299" s="284">
        <f t="shared" si="30"/>
        <v>0</v>
      </c>
      <c r="T299" s="284">
        <f t="shared" si="31"/>
        <v>0</v>
      </c>
      <c r="U299" s="284">
        <f t="shared" si="34"/>
        <v>71</v>
      </c>
      <c r="V299" s="284">
        <f t="shared" si="32"/>
        <v>0</v>
      </c>
    </row>
    <row r="300" spans="1:22" ht="55.5" customHeight="1" x14ac:dyDescent="0.2">
      <c r="A300" s="315" t="str">
        <f>Questions!$A300</f>
        <v>DPAI-06</v>
      </c>
      <c r="B300" s="315" t="str">
        <f t="shared" si="28"/>
        <v>DPAI</v>
      </c>
      <c r="C300" s="315" t="str">
        <f>VLOOKUP($A300,Questions!$A$3:$L$333,2,0)&amp;""</f>
        <v>Will institutional data be used or processed by any shared AI services?</v>
      </c>
      <c r="D300" s="315" t="str">
        <f>VLOOKUP($A300,Questions!$A$3:$L$333,11,0)&amp;""</f>
        <v/>
      </c>
      <c r="E300" s="315" t="str">
        <f>VLOOKUP($A300,Questions!$A$3:$L$333,12,0)&amp;""</f>
        <v>Privacy</v>
      </c>
      <c r="F300" s="315" t="str">
        <f>VLOOKUP($A300,'Privacy Analyst Evaluation'!$A$46:$K$120,3,0)&amp;""</f>
        <v>N/A</v>
      </c>
      <c r="G300" s="315" t="str">
        <f>VLOOKUP($A300,'Privacy Analyst Evaluation'!$A$46:$K$120,7,0)&amp;""</f>
        <v>No</v>
      </c>
      <c r="H300" s="315" t="str">
        <f>VLOOKUP($A300,'Privacy Analyst Evaluation'!$A$46:$K$120,8,0)&amp;""</f>
        <v/>
      </c>
      <c r="I300" s="315" t="str">
        <f>VLOOKUP($A300,'Privacy Analyst Evaluation'!$A$46:$K$120,9,0)&amp;""</f>
        <v>Minor Importance</v>
      </c>
      <c r="J300" s="315" t="str">
        <f>VLOOKUP($A300,'Privacy Analyst Evaluation'!$A$46:$K$120,10,0)&amp;""</f>
        <v/>
      </c>
      <c r="K300" s="315">
        <f>IF($I300='Auto Responses'!$J$11,20,IF($I300='Auto Responses'!$J$13,5,10))</f>
        <v>5</v>
      </c>
      <c r="L300" s="284">
        <f>IF($E300='Auto Responses'!$L$13, 'Auto Responses'!$J$5,IF(AND($D300='Auto Responses'!$J$27,$H300=""),'Auto Responses'!$J$5,IF(AND($D300='Auto Responses'!$J$27,$H300='Auto Responses'!$J$7),1,IF(AND($D300='Auto Responses'!$J$27,$H300='Auto Responses'!$J$8),0,IF(OR(AND($F300=$G300,$H300=""),$H300='Auto Responses'!$J$7),1,0)))))</f>
        <v>0</v>
      </c>
      <c r="M300" s="315" t="str">
        <f>VLOOKUP($A300,'Privacy Analyst Evaluation'!$A$46:$K$120,11,0)&amp;""</f>
        <v>FALSCH</v>
      </c>
      <c r="N300" s="315">
        <f>IF($J300='Auto Responses'!$J$11,1,IF(AND($J300="",$I300='Auto Responses'!$J$11),1,0))</f>
        <v>0</v>
      </c>
      <c r="O300" s="284" t="str">
        <f>IF(OR($F$20='Auto Responses'!$J$4,$E300='Auto Responses'!$L$13,$F300='Auto Responses'!$J$5,$F$24='Auto Responses'!$J$4),'Auto Responses'!$J$5,IF($J300="",$K300,IF($J300='Auto Responses'!$J$13,5,IF($J300='Auto Responses'!$J$12,10,IF($J300='Auto Responses'!$J$11,20,0)))))</f>
        <v>N/A</v>
      </c>
      <c r="P300" s="284" t="str">
        <f>IF(OR($O300='Auto Responses'!$J$5,$L300='Auto Responses'!$J$5),'Auto Responses'!$J$5,$O300*$L300)</f>
        <v>N/A</v>
      </c>
      <c r="Q300" s="284">
        <f t="shared" si="29"/>
        <v>0</v>
      </c>
      <c r="R300" s="284">
        <f t="shared" si="33"/>
        <v>0</v>
      </c>
      <c r="S300" s="284">
        <f t="shared" si="30"/>
        <v>0</v>
      </c>
      <c r="T300" s="284">
        <f t="shared" si="31"/>
        <v>0</v>
      </c>
      <c r="U300" s="284">
        <f t="shared" si="34"/>
        <v>71</v>
      </c>
      <c r="V300" s="284">
        <f t="shared" si="32"/>
        <v>0</v>
      </c>
    </row>
    <row r="301" spans="1:22" ht="55.5" customHeight="1" x14ac:dyDescent="0.2">
      <c r="A301" s="315" t="str">
        <f>Questions!$A301</f>
        <v>DPAI-07</v>
      </c>
      <c r="B301" s="315" t="str">
        <f t="shared" si="28"/>
        <v>DPAI</v>
      </c>
      <c r="C301" s="315" t="str">
        <f>VLOOKUP($A301,Questions!$A$3:$L$333,2,0)&amp;""</f>
        <v>Do you have safeguards in place to protect institutional data and data privacy from unintended AI queries or processing?</v>
      </c>
      <c r="D301" s="315" t="str">
        <f>VLOOKUP($A301,Questions!$A$3:$L$333,11,0)&amp;""</f>
        <v/>
      </c>
      <c r="E301" s="315" t="str">
        <f>VLOOKUP($A301,Questions!$A$3:$L$333,12,0)&amp;""</f>
        <v>Privacy</v>
      </c>
      <c r="F301" s="315" t="str">
        <f>VLOOKUP($A301,'Privacy Analyst Evaluation'!$A$46:$K$120,3,0)&amp;""</f>
        <v>N/A</v>
      </c>
      <c r="G301" s="315" t="str">
        <f>VLOOKUP($A301,'Privacy Analyst Evaluation'!$A$46:$K$120,7,0)&amp;""</f>
        <v>Yes</v>
      </c>
      <c r="H301" s="315" t="str">
        <f>VLOOKUP($A301,'Privacy Analyst Evaluation'!$A$46:$K$120,8,0)&amp;""</f>
        <v/>
      </c>
      <c r="I301" s="315" t="str">
        <f>VLOOKUP($A301,'Privacy Analyst Evaluation'!$A$46:$K$120,9,0)&amp;""</f>
        <v>Minor Importance</v>
      </c>
      <c r="J301" s="315" t="str">
        <f>VLOOKUP($A301,'Privacy Analyst Evaluation'!$A$46:$K$120,10,0)&amp;""</f>
        <v/>
      </c>
      <c r="K301" s="315">
        <f>IF($I301='Auto Responses'!$J$11,20,IF($I301='Auto Responses'!$J$13,5,10))</f>
        <v>5</v>
      </c>
      <c r="L301" s="284">
        <f>IF($E301='Auto Responses'!$L$13, 'Auto Responses'!$J$5,IF(AND($D301='Auto Responses'!$J$27,$H301=""),'Auto Responses'!$J$5,IF(AND($D301='Auto Responses'!$J$27,$H301='Auto Responses'!$J$7),1,IF(AND($D301='Auto Responses'!$J$27,$H301='Auto Responses'!$J$8),0,IF(OR(AND($F301=$G301,$H301=""),$H301='Auto Responses'!$J$7),1,0)))))</f>
        <v>0</v>
      </c>
      <c r="M301" s="315" t="str">
        <f>VLOOKUP($A301,'Privacy Analyst Evaluation'!$A$46:$K$120,11,0)&amp;""</f>
        <v>FALSCH</v>
      </c>
      <c r="N301" s="315">
        <f>IF($J301='Auto Responses'!$J$11,1,IF(AND($J301="",$I301='Auto Responses'!$J$11),1,0))</f>
        <v>0</v>
      </c>
      <c r="O301" s="284" t="str">
        <f>IF(OR($F$20='Auto Responses'!$J$4,$E301='Auto Responses'!$L$13,$F301='Auto Responses'!$J$5,$F$24='Auto Responses'!$J$4),'Auto Responses'!$J$5,IF($J301="",$K301,IF($J301='Auto Responses'!$J$13,5,IF($J301='Auto Responses'!$J$12,10,IF($J301='Auto Responses'!$J$11,20,0)))))</f>
        <v>N/A</v>
      </c>
      <c r="P301" s="284" t="str">
        <f>IF(OR($O301='Auto Responses'!$J$5,$L301='Auto Responses'!$J$5),'Auto Responses'!$J$5,$O301*$L301)</f>
        <v>N/A</v>
      </c>
      <c r="Q301" s="284">
        <f t="shared" si="29"/>
        <v>0</v>
      </c>
      <c r="R301" s="284">
        <f t="shared" si="33"/>
        <v>0</v>
      </c>
      <c r="S301" s="284">
        <f t="shared" si="30"/>
        <v>0</v>
      </c>
      <c r="T301" s="284">
        <f t="shared" si="31"/>
        <v>0</v>
      </c>
      <c r="U301" s="284">
        <f t="shared" si="34"/>
        <v>71</v>
      </c>
      <c r="V301" s="284">
        <f t="shared" si="32"/>
        <v>0</v>
      </c>
    </row>
    <row r="302" spans="1:22" ht="55.5" customHeight="1" x14ac:dyDescent="0.2">
      <c r="A302" s="315" t="str">
        <f>Questions!$A302</f>
        <v>DPAI-08</v>
      </c>
      <c r="B302" s="315" t="str">
        <f t="shared" si="28"/>
        <v>DPAI</v>
      </c>
      <c r="C302" s="315" t="str">
        <f>VLOOKUP($A302,Questions!$A$3:$L$333,2,0)&amp;""</f>
        <v>Do you provide choice to the user to opt out of AI use?</v>
      </c>
      <c r="D302" s="315" t="str">
        <f>VLOOKUP($A302,Questions!$A$3:$L$333,11,0)&amp;""</f>
        <v/>
      </c>
      <c r="E302" s="315" t="str">
        <f>VLOOKUP($A302,Questions!$A$3:$L$333,12,0)&amp;""</f>
        <v>Privacy</v>
      </c>
      <c r="F302" s="315" t="str">
        <f>VLOOKUP($A302,'Privacy Analyst Evaluation'!$A$46:$K$120,3,0)&amp;""</f>
        <v>N/A</v>
      </c>
      <c r="G302" s="315" t="str">
        <f>VLOOKUP($A302,'Privacy Analyst Evaluation'!$A$46:$K$120,7,0)&amp;""</f>
        <v>Yes</v>
      </c>
      <c r="H302" s="315" t="str">
        <f>VLOOKUP($A302,'Privacy Analyst Evaluation'!$A$46:$K$120,8,0)&amp;""</f>
        <v/>
      </c>
      <c r="I302" s="315" t="str">
        <f>VLOOKUP($A302,'Privacy Analyst Evaluation'!$A$46:$K$120,9,0)&amp;""</f>
        <v>Minor Importance</v>
      </c>
      <c r="J302" s="315" t="str">
        <f>VLOOKUP($A302,'Privacy Analyst Evaluation'!$A$46:$K$120,10,0)&amp;""</f>
        <v/>
      </c>
      <c r="K302" s="315">
        <f>IF($I302='Auto Responses'!$J$11,20,IF($I302='Auto Responses'!$J$13,5,10))</f>
        <v>5</v>
      </c>
      <c r="L302" s="284">
        <f>IF($E302='Auto Responses'!$L$13, 'Auto Responses'!$J$5,IF(AND($D302='Auto Responses'!$J$27,$H302=""),'Auto Responses'!$J$5,IF(AND($D302='Auto Responses'!$J$27,$H302='Auto Responses'!$J$7),1,IF(AND($D302='Auto Responses'!$J$27,$H302='Auto Responses'!$J$8),0,IF(OR(AND($F302=$G302,$H302=""),$H302='Auto Responses'!$J$7),1,0)))))</f>
        <v>0</v>
      </c>
      <c r="M302" s="315" t="str">
        <f>VLOOKUP($A302,'Privacy Analyst Evaluation'!$A$46:$K$120,11,0)&amp;""</f>
        <v>FALSCH</v>
      </c>
      <c r="N302" s="315">
        <f>IF($J302='Auto Responses'!$J$11,1,IF(AND($J302="",$I302='Auto Responses'!$J$11),1,0))</f>
        <v>0</v>
      </c>
      <c r="O302" s="284" t="str">
        <f>IF(OR($F$20='Auto Responses'!$J$4,$E302='Auto Responses'!$L$13,$F302='Auto Responses'!$J$5,$F$24='Auto Responses'!$J$4),'Auto Responses'!$J$5,IF($J302="",$K302,IF($J302='Auto Responses'!$J$13,5,IF($J302='Auto Responses'!$J$12,10,IF($J302='Auto Responses'!$J$11,20,0)))))</f>
        <v>N/A</v>
      </c>
      <c r="P302" s="284" t="str">
        <f>IF(OR($O302='Auto Responses'!$J$5,$L302='Auto Responses'!$J$5),'Auto Responses'!$J$5,$O302*$L302)</f>
        <v>N/A</v>
      </c>
      <c r="Q302" s="284">
        <f t="shared" si="29"/>
        <v>0</v>
      </c>
      <c r="R302" s="284">
        <f t="shared" si="33"/>
        <v>0</v>
      </c>
      <c r="S302" s="284">
        <f t="shared" si="30"/>
        <v>0</v>
      </c>
      <c r="T302" s="284">
        <f t="shared" si="31"/>
        <v>0</v>
      </c>
      <c r="U302" s="284">
        <f t="shared" si="34"/>
        <v>71</v>
      </c>
      <c r="V302" s="284">
        <f t="shared" si="32"/>
        <v>0</v>
      </c>
    </row>
    <row r="303" spans="1:22" ht="55.5" customHeight="1" x14ac:dyDescent="0.2">
      <c r="A303" s="315" t="str">
        <f>Questions!$A303</f>
        <v>AIQU-01</v>
      </c>
      <c r="B303" s="315" t="str">
        <f t="shared" si="28"/>
        <v>AIQU</v>
      </c>
      <c r="C303" s="315" t="str">
        <f>VLOOKUP($A303,Questions!$A$3:$L$333,2,0)&amp;""</f>
        <v>Does your solution leverage machine learning (ML) or do you plan to do so in the next 12 months?</v>
      </c>
      <c r="D303" s="315" t="str">
        <f>VLOOKUP($A303,Questions!$A$3:$L$333,11,0)&amp;""</f>
        <v>NA</v>
      </c>
      <c r="E303" s="315" t="str">
        <f>VLOOKUP($A303,Questions!$A$3:$L$333,12,0)&amp;""</f>
        <v>Not scored</v>
      </c>
      <c r="F303" s="315" t="str">
        <f>VLOOKUP($A303,'Institution Evaluation'!$A$56:$K$345,3,0)&amp;""</f>
        <v>No</v>
      </c>
      <c r="G303" s="315" t="str">
        <f>VLOOKUP($A303,'Institution Evaluation'!$A$56:$K$345,7,0)&amp;""</f>
        <v>Not scored</v>
      </c>
      <c r="H303" s="315" t="str">
        <f>VLOOKUP($A303,'Institution Evaluation'!$A$56:$K$345,8,0)&amp;""</f>
        <v/>
      </c>
      <c r="I303" s="315" t="str">
        <f>VLOOKUP($A303,'Institution Evaluation'!$A$56:$K$345,9,0)&amp;""</f>
        <v/>
      </c>
      <c r="J303" s="315" t="str">
        <f>VLOOKUP($A303,'Institution Evaluation'!$A$56:$K$345,10,0)&amp;""</f>
        <v/>
      </c>
      <c r="K303" s="315">
        <f>IF($I303='Auto Responses'!$J$11,20,IF($I303='Auto Responses'!$J$13,5,10))</f>
        <v>10</v>
      </c>
      <c r="L303" s="284" t="str">
        <f>IF($E303='Auto Responses'!$L$13, 'Auto Responses'!$J$5,IF(AND($D303='Auto Responses'!$J$27,$H303=""),'Auto Responses'!$J$5,IF(AND($D303='Auto Responses'!$J$27,$H303='Auto Responses'!$J$7),1,IF(AND($D303='Auto Responses'!$J$27,$H303='Auto Responses'!$J$8),0,IF(OR(AND($F303=$G303,$H303=""),$H303='Auto Responses'!$J$7),1,0)))))</f>
        <v>N/A</v>
      </c>
      <c r="M303" s="315" t="str">
        <f>VLOOKUP($A303,'Institution Evaluation'!$A$56:$K$345,11,0)&amp;""</f>
        <v>FALSCH</v>
      </c>
      <c r="N303" s="315">
        <f>IF($J303='Auto Responses'!$J$11,1,IF(AND($J303="",$I303='Auto Responses'!$J$11),1,0))</f>
        <v>0</v>
      </c>
      <c r="O303" s="284" t="str">
        <f>IF(OR($F$20='Auto Responses'!$J$4,$E303='Auto Responses'!$L$13,$F303='Auto Responses'!$J$5),'Auto Responses'!$J$5,IF($J303="",$K303,IF($J303='Auto Responses'!$J$13,5,IF($J303='Auto Responses'!$J$12,10,IF($J303='Auto Responses'!$J$11,20,0)))))</f>
        <v>N/A</v>
      </c>
      <c r="P303" s="284" t="str">
        <f>IF(OR($O303='Auto Responses'!$J$5,$L303='Auto Responses'!$J$5),'Auto Responses'!$J$5,$O303*$L303)</f>
        <v>N/A</v>
      </c>
      <c r="Q303" s="284">
        <f t="shared" si="29"/>
        <v>0</v>
      </c>
      <c r="R303" s="284">
        <f t="shared" si="33"/>
        <v>0</v>
      </c>
      <c r="S303" s="284">
        <f t="shared" si="30"/>
        <v>0</v>
      </c>
      <c r="T303" s="284">
        <f t="shared" si="31"/>
        <v>0</v>
      </c>
      <c r="U303" s="284">
        <f t="shared" si="34"/>
        <v>71</v>
      </c>
      <c r="V303" s="284">
        <f t="shared" si="32"/>
        <v>0</v>
      </c>
    </row>
    <row r="304" spans="1:22" ht="55.5" customHeight="1" x14ac:dyDescent="0.2">
      <c r="A304" s="315" t="str">
        <f>Questions!$A304</f>
        <v>AIQU-02</v>
      </c>
      <c r="B304" s="315" t="str">
        <f t="shared" si="28"/>
        <v>AIQU</v>
      </c>
      <c r="C304" s="315" t="str">
        <f>VLOOKUP($A304,Questions!$A$3:$L$333,2,0)&amp;""</f>
        <v>Does your solution leverage a large language model (LLM) or do you plan to do so in the next 12 months?</v>
      </c>
      <c r="D304" s="315" t="str">
        <f>VLOOKUP($A304,Questions!$A$3:$L$333,11,0)&amp;""</f>
        <v>NA</v>
      </c>
      <c r="E304" s="315" t="str">
        <f>VLOOKUP($A304,Questions!$A$3:$L$333,12,0)&amp;""</f>
        <v>Not scored</v>
      </c>
      <c r="F304" s="315" t="str">
        <f>VLOOKUP($A304,'Institution Evaluation'!$A$56:$K$345,3,0)&amp;""</f>
        <v>No</v>
      </c>
      <c r="G304" s="315" t="str">
        <f>VLOOKUP($A304,'Institution Evaluation'!$A$56:$K$345,7,0)&amp;""</f>
        <v>Not scored</v>
      </c>
      <c r="H304" s="315" t="str">
        <f>VLOOKUP($A304,'Institution Evaluation'!$A$56:$K$345,8,0)&amp;""</f>
        <v/>
      </c>
      <c r="I304" s="315" t="str">
        <f>VLOOKUP($A304,'Institution Evaluation'!$A$56:$K$345,9,0)&amp;""</f>
        <v/>
      </c>
      <c r="J304" s="315" t="str">
        <f>VLOOKUP($A304,'Institution Evaluation'!$A$56:$K$345,10,0)&amp;""</f>
        <v/>
      </c>
      <c r="K304" s="315">
        <f>IF($I304='Auto Responses'!$J$11,20,IF($I304='Auto Responses'!$J$13,5,10))</f>
        <v>10</v>
      </c>
      <c r="L304" s="284" t="str">
        <f>IF($E304='Auto Responses'!$L$13, 'Auto Responses'!$J$5,IF(AND($D304='Auto Responses'!$J$27,$H304=""),'Auto Responses'!$J$5,IF(AND($D304='Auto Responses'!$J$27,$H304='Auto Responses'!$J$7),1,IF(AND($D304='Auto Responses'!$J$27,$H304='Auto Responses'!$J$8),0,IF(OR(AND($F304=$G304,$H304=""),$H304='Auto Responses'!$J$7),1,0)))))</f>
        <v>N/A</v>
      </c>
      <c r="M304" s="315" t="str">
        <f>VLOOKUP($A304,'Institution Evaluation'!$A$56:$K$345,11,0)&amp;""</f>
        <v>FALSCH</v>
      </c>
      <c r="N304" s="315">
        <f>IF($J304='Auto Responses'!$J$11,1,IF(AND($J304="",$I304='Auto Responses'!$J$11),1,0))</f>
        <v>0</v>
      </c>
      <c r="O304" s="284" t="str">
        <f>IF(OR($F$20='Auto Responses'!$J$4,$E304='Auto Responses'!$L$13,$F304='Auto Responses'!$J$5),'Auto Responses'!$J$5,IF($J304="",$K304,IF($J304='Auto Responses'!$J$13,5,IF($J304='Auto Responses'!$J$12,10,IF($J304='Auto Responses'!$J$11,20,0)))))</f>
        <v>N/A</v>
      </c>
      <c r="P304" s="284" t="str">
        <f>IF(OR($O304='Auto Responses'!$J$5,$L304='Auto Responses'!$J$5),'Auto Responses'!$J$5,$O304*$L304)</f>
        <v>N/A</v>
      </c>
      <c r="Q304" s="284">
        <f t="shared" si="29"/>
        <v>0</v>
      </c>
      <c r="R304" s="284">
        <f t="shared" si="33"/>
        <v>0</v>
      </c>
      <c r="S304" s="284">
        <f t="shared" si="30"/>
        <v>0</v>
      </c>
      <c r="T304" s="284">
        <f t="shared" si="31"/>
        <v>0</v>
      </c>
      <c r="U304" s="284">
        <f t="shared" si="34"/>
        <v>71</v>
      </c>
      <c r="V304" s="284">
        <f t="shared" si="32"/>
        <v>0</v>
      </c>
    </row>
    <row r="305" spans="1:22" ht="55.5" customHeight="1" x14ac:dyDescent="0.2">
      <c r="A305" s="315" t="str">
        <f>Questions!$A305</f>
        <v>AIGN-01</v>
      </c>
      <c r="B305" s="315" t="str">
        <f t="shared" si="28"/>
        <v>AIGN</v>
      </c>
      <c r="C305" s="315" t="str">
        <f>VLOOKUP($A305,Questions!$A$3:$L$333,2,0)&amp;""</f>
        <v>Does your solution have an AI risk model when developing or implementing your solution's AI model?*</v>
      </c>
      <c r="D305" s="315" t="str">
        <f>VLOOKUP($A305,Questions!$A$3:$L$333,11,0)&amp;""</f>
        <v/>
      </c>
      <c r="E305" s="315" t="str">
        <f>VLOOKUP($A305,Questions!$A$3:$L$333,12,0)&amp;""</f>
        <v>AI</v>
      </c>
      <c r="F305" s="315" t="str">
        <f>VLOOKUP($A305,'Institution Evaluation'!$A$56:$K$345,3,0)&amp;""</f>
        <v>N/A</v>
      </c>
      <c r="G305" s="315" t="str">
        <f>VLOOKUP($A305,'Institution Evaluation'!$A$56:$K$345,7,0)&amp;""</f>
        <v>Yes</v>
      </c>
      <c r="H305" s="315" t="str">
        <f>VLOOKUP($A305,'Institution Evaluation'!$A$56:$K$345,8,0)&amp;""</f>
        <v/>
      </c>
      <c r="I305" s="315" t="str">
        <f>VLOOKUP($A305,'Institution Evaluation'!$A$56:$K$345,9,0)&amp;""</f>
        <v>Critical Importance</v>
      </c>
      <c r="J305" s="315" t="str">
        <f>VLOOKUP($A305,'Institution Evaluation'!$A$56:$K$345,10,0)&amp;""</f>
        <v/>
      </c>
      <c r="K305" s="315">
        <f>IF($I305='Auto Responses'!$J$11,20,IF($I305='Auto Responses'!$J$13,5,10))</f>
        <v>20</v>
      </c>
      <c r="L305" s="284">
        <f>IF($E305='Auto Responses'!$L$13, 'Auto Responses'!$J$5,IF(AND($D305='Auto Responses'!$J$27,$H305=""),'Auto Responses'!$J$5,IF(AND($D305='Auto Responses'!$J$27,$H305='Auto Responses'!$J$7),1,IF(AND($D305='Auto Responses'!$J$27,$H305='Auto Responses'!$J$8),0,IF(OR(AND($F305=$G305,$H305=""),$H305='Auto Responses'!$J$7),1,0)))))</f>
        <v>0</v>
      </c>
      <c r="M305" s="315" t="str">
        <f>VLOOKUP($A305,'Institution Evaluation'!$A$56:$K$345,11,0)&amp;""</f>
        <v>FALSCH</v>
      </c>
      <c r="N305" s="315">
        <f>IF($J305='Auto Responses'!$J$11,1,IF(AND($J305="",$I305='Auto Responses'!$J$11),1,0))</f>
        <v>1</v>
      </c>
      <c r="O305" s="284" t="str">
        <f>IF(OR($F$20='Auto Responses'!$J$4,$E305='Auto Responses'!$L$13,$F305='Auto Responses'!$J$5),'Auto Responses'!$J$5,IF($J305="",$K305,IF($J305='Auto Responses'!$J$13,5,IF($J305='Auto Responses'!$J$12,10,IF($J305='Auto Responses'!$J$11,20,0)))))</f>
        <v>N/A</v>
      </c>
      <c r="P305" s="284" t="str">
        <f>IF(OR($O305='Auto Responses'!$J$5,$L305='Auto Responses'!$J$5),'Auto Responses'!$J$5,$O305*$L305)</f>
        <v>N/A</v>
      </c>
      <c r="Q305" s="284">
        <f t="shared" si="29"/>
        <v>0</v>
      </c>
      <c r="R305" s="284">
        <f t="shared" si="33"/>
        <v>0</v>
      </c>
      <c r="S305" s="284">
        <f t="shared" si="30"/>
        <v>0</v>
      </c>
      <c r="T305" s="284">
        <f t="shared" si="31"/>
        <v>1</v>
      </c>
      <c r="U305" s="284">
        <f t="shared" si="34"/>
        <v>72</v>
      </c>
      <c r="V305" s="284">
        <f t="shared" si="32"/>
        <v>72</v>
      </c>
    </row>
    <row r="306" spans="1:22" ht="55.5" customHeight="1" x14ac:dyDescent="0.2">
      <c r="A306" s="315" t="str">
        <f>Questions!$A306</f>
        <v>AIGN-02</v>
      </c>
      <c r="B306" s="315" t="str">
        <f t="shared" si="28"/>
        <v>AIGN</v>
      </c>
      <c r="C306" s="315" t="str">
        <f>VLOOKUP($A306,Questions!$A$3:$L$333,2,0)&amp;""</f>
        <v>Can your solution's AI features be disabled by tenant and/or user?*</v>
      </c>
      <c r="D306" s="315" t="str">
        <f>VLOOKUP($A306,Questions!$A$3:$L$333,11,0)&amp;""</f>
        <v/>
      </c>
      <c r="E306" s="315" t="str">
        <f>VLOOKUP($A306,Questions!$A$3:$L$333,12,0)&amp;""</f>
        <v>AI</v>
      </c>
      <c r="F306" s="315" t="str">
        <f>VLOOKUP($A306,'Institution Evaluation'!$A$56:$K$345,3,0)&amp;""</f>
        <v>N/A</v>
      </c>
      <c r="G306" s="315" t="str">
        <f>VLOOKUP($A306,'Institution Evaluation'!$A$56:$K$345,7,0)&amp;""</f>
        <v>Yes</v>
      </c>
      <c r="H306" s="315" t="str">
        <f>VLOOKUP($A306,'Institution Evaluation'!$A$56:$K$345,8,0)&amp;""</f>
        <v/>
      </c>
      <c r="I306" s="315" t="str">
        <f>VLOOKUP($A306,'Institution Evaluation'!$A$56:$K$345,9,0)&amp;""</f>
        <v>Critical Importance</v>
      </c>
      <c r="J306" s="315" t="str">
        <f>VLOOKUP($A306,'Institution Evaluation'!$A$56:$K$345,10,0)&amp;""</f>
        <v/>
      </c>
      <c r="K306" s="315">
        <f>IF($I306='Auto Responses'!$J$11,20,IF($I306='Auto Responses'!$J$13,5,10))</f>
        <v>20</v>
      </c>
      <c r="L306" s="284">
        <f>IF($E306='Auto Responses'!$L$13, 'Auto Responses'!$J$5,IF(AND($D306='Auto Responses'!$J$27,$H306=""),'Auto Responses'!$J$5,IF(AND($D306='Auto Responses'!$J$27,$H306='Auto Responses'!$J$7),1,IF(AND($D306='Auto Responses'!$J$27,$H306='Auto Responses'!$J$8),0,IF(OR(AND($F306=$G306,$H306=""),$H306='Auto Responses'!$J$7),1,0)))))</f>
        <v>0</v>
      </c>
      <c r="M306" s="315" t="str">
        <f>VLOOKUP($A306,'Institution Evaluation'!$A$56:$K$345,11,0)&amp;""</f>
        <v>FALSCH</v>
      </c>
      <c r="N306" s="315">
        <f>IF($J306='Auto Responses'!$J$11,1,IF(AND($J306="",$I306='Auto Responses'!$J$11),1,0))</f>
        <v>1</v>
      </c>
      <c r="O306" s="284" t="str">
        <f>IF(OR($F$20='Auto Responses'!$J$4,$E306='Auto Responses'!$L$13,$F306='Auto Responses'!$J$5),'Auto Responses'!$J$5,IF($J306="",$K306,IF($J306='Auto Responses'!$J$13,5,IF($J306='Auto Responses'!$J$12,10,IF($J306='Auto Responses'!$J$11,20,0)))))</f>
        <v>N/A</v>
      </c>
      <c r="P306" s="284" t="str">
        <f>IF(OR($O306='Auto Responses'!$J$5,$L306='Auto Responses'!$J$5),'Auto Responses'!$J$5,$O306*$L306)</f>
        <v>N/A</v>
      </c>
      <c r="Q306" s="284">
        <f t="shared" si="29"/>
        <v>0</v>
      </c>
      <c r="R306" s="284">
        <f t="shared" si="33"/>
        <v>0</v>
      </c>
      <c r="S306" s="284">
        <f t="shared" si="30"/>
        <v>0</v>
      </c>
      <c r="T306" s="284">
        <f t="shared" si="31"/>
        <v>1</v>
      </c>
      <c r="U306" s="284">
        <f t="shared" si="34"/>
        <v>73</v>
      </c>
      <c r="V306" s="284">
        <f t="shared" si="32"/>
        <v>73</v>
      </c>
    </row>
    <row r="307" spans="1:22" ht="55.5" customHeight="1" x14ac:dyDescent="0.2">
      <c r="A307" s="315" t="str">
        <f>Questions!$A307</f>
        <v>AIGN-03</v>
      </c>
      <c r="B307" s="315" t="str">
        <f t="shared" si="28"/>
        <v>AIGN</v>
      </c>
      <c r="C307" s="315" t="str">
        <f>VLOOKUP($A307,Questions!$A$3:$L$333,2,0)&amp;""</f>
        <v>Have your staff completed responsible AI training?*</v>
      </c>
      <c r="D307" s="315" t="str">
        <f>VLOOKUP($A307,Questions!$A$3:$L$333,11,0)&amp;""</f>
        <v/>
      </c>
      <c r="E307" s="315" t="str">
        <f>VLOOKUP($A307,Questions!$A$3:$L$333,12,0)&amp;""</f>
        <v>AI</v>
      </c>
      <c r="F307" s="315" t="str">
        <f>VLOOKUP($A307,'Institution Evaluation'!$A$56:$K$345,3,0)&amp;""</f>
        <v>N/A</v>
      </c>
      <c r="G307" s="315" t="str">
        <f>VLOOKUP($A307,'Institution Evaluation'!$A$56:$K$345,7,0)&amp;""</f>
        <v>Yes</v>
      </c>
      <c r="H307" s="315" t="str">
        <f>VLOOKUP($A307,'Institution Evaluation'!$A$56:$K$345,8,0)&amp;""</f>
        <v/>
      </c>
      <c r="I307" s="315" t="str">
        <f>VLOOKUP($A307,'Institution Evaluation'!$A$56:$K$345,9,0)&amp;""</f>
        <v>Critical Importance</v>
      </c>
      <c r="J307" s="315" t="str">
        <f>VLOOKUP($A307,'Institution Evaluation'!$A$56:$K$345,10,0)&amp;""</f>
        <v/>
      </c>
      <c r="K307" s="315">
        <f>IF($I307='Auto Responses'!$J$11,20,IF($I307='Auto Responses'!$J$13,5,10))</f>
        <v>20</v>
      </c>
      <c r="L307" s="284">
        <f>IF($E307='Auto Responses'!$L$13, 'Auto Responses'!$J$5,IF(AND($D307='Auto Responses'!$J$27,$H307=""),'Auto Responses'!$J$5,IF(AND($D307='Auto Responses'!$J$27,$H307='Auto Responses'!$J$7),1,IF(AND($D307='Auto Responses'!$J$27,$H307='Auto Responses'!$J$8),0,IF(OR(AND($F307=$G307,$H307=""),$H307='Auto Responses'!$J$7),1,0)))))</f>
        <v>0</v>
      </c>
      <c r="M307" s="315" t="str">
        <f>VLOOKUP($A307,'Institution Evaluation'!$A$56:$K$345,11,0)&amp;""</f>
        <v>FALSCH</v>
      </c>
      <c r="N307" s="315">
        <f>IF($J307='Auto Responses'!$J$11,1,IF(AND($J307="",$I307='Auto Responses'!$J$11),1,0))</f>
        <v>1</v>
      </c>
      <c r="O307" s="284" t="str">
        <f>IF(OR($F$20='Auto Responses'!$J$4,$E307='Auto Responses'!$L$13,$F307='Auto Responses'!$J$5),'Auto Responses'!$J$5,IF($J307="",$K307,IF($J307='Auto Responses'!$J$13,5,IF($J307='Auto Responses'!$J$12,10,IF($J307='Auto Responses'!$J$11,20,0)))))</f>
        <v>N/A</v>
      </c>
      <c r="P307" s="284" t="str">
        <f>IF(OR($O307='Auto Responses'!$J$5,$L307='Auto Responses'!$J$5),'Auto Responses'!$J$5,$O307*$L307)</f>
        <v>N/A</v>
      </c>
      <c r="Q307" s="284">
        <f t="shared" si="29"/>
        <v>0</v>
      </c>
      <c r="R307" s="284">
        <f t="shared" si="33"/>
        <v>0</v>
      </c>
      <c r="S307" s="284">
        <f t="shared" si="30"/>
        <v>0</v>
      </c>
      <c r="T307" s="284">
        <f t="shared" si="31"/>
        <v>1</v>
      </c>
      <c r="U307" s="284">
        <f t="shared" si="34"/>
        <v>74</v>
      </c>
      <c r="V307" s="284">
        <f t="shared" si="32"/>
        <v>74</v>
      </c>
    </row>
    <row r="308" spans="1:22" ht="55.5" customHeight="1" x14ac:dyDescent="0.2">
      <c r="A308" s="315" t="str">
        <f>Questions!$A308</f>
        <v>AIGN-04</v>
      </c>
      <c r="B308" s="315" t="str">
        <f t="shared" si="28"/>
        <v>AIGN</v>
      </c>
      <c r="C308" s="315" t="str">
        <f>VLOOKUP($A308,Questions!$A$3:$L$333,2,0)&amp;""</f>
        <v>Please describe the capabilities of your solution's AI features.</v>
      </c>
      <c r="D308" s="315" t="str">
        <f>VLOOKUP($A308,Questions!$A$3:$L$333,11,0)&amp;""</f>
        <v/>
      </c>
      <c r="E308" s="315" t="str">
        <f>VLOOKUP($A308,Questions!$A$3:$L$333,12,0)&amp;""</f>
        <v>Not scored</v>
      </c>
      <c r="F308" s="315" t="str">
        <f>VLOOKUP($A308,'Institution Evaluation'!$A$56:$K$345,3,0)&amp;""</f>
        <v>N/A</v>
      </c>
      <c r="G308" s="315" t="str">
        <f>VLOOKUP($A308,'Institution Evaluation'!$A$56:$K$345,7,0)&amp;""</f>
        <v>Not scored</v>
      </c>
      <c r="H308" s="315" t="str">
        <f>VLOOKUP($A308,'Institution Evaluation'!$A$56:$K$345,8,0)&amp;""</f>
        <v/>
      </c>
      <c r="I308" s="315" t="str">
        <f>VLOOKUP($A308,'Institution Evaluation'!$A$56:$K$345,9,0)&amp;""</f>
        <v/>
      </c>
      <c r="J308" s="315" t="str">
        <f>VLOOKUP($A308,'Institution Evaluation'!$A$56:$K$345,10,0)&amp;""</f>
        <v/>
      </c>
      <c r="K308" s="315">
        <f>IF($I308='Auto Responses'!$J$11,20,IF($I308='Auto Responses'!$J$13,5,10))</f>
        <v>10</v>
      </c>
      <c r="L308" s="284" t="str">
        <f>IF($E308='Auto Responses'!$L$13, 'Auto Responses'!$J$5,IF(AND($D308='Auto Responses'!$J$27,$H308=""),'Auto Responses'!$J$5,IF(AND($D308='Auto Responses'!$J$27,$H308='Auto Responses'!$J$7),1,IF(AND($D308='Auto Responses'!$J$27,$H308='Auto Responses'!$J$8),0,IF(OR(AND($F308=$G308,$H308=""),$H308='Auto Responses'!$J$7),1,0)))))</f>
        <v>N/A</v>
      </c>
      <c r="M308" s="315" t="str">
        <f>VLOOKUP($A308,'Institution Evaluation'!$A$56:$K$345,11,0)&amp;""</f>
        <v>FALSCH</v>
      </c>
      <c r="N308" s="315">
        <f>IF($J308='Auto Responses'!$J$11,1,IF(AND($J308="",$I308='Auto Responses'!$J$11),1,0))</f>
        <v>0</v>
      </c>
      <c r="O308" s="284" t="str">
        <f>IF(OR($F$20='Auto Responses'!$J$4,$E308='Auto Responses'!$L$13,$F308='Auto Responses'!$J$5),'Auto Responses'!$J$5,IF($J308="",$K308,IF($J308='Auto Responses'!$J$13,5,IF($J308='Auto Responses'!$J$12,10,IF($J308='Auto Responses'!$J$11,20,0)))))</f>
        <v>N/A</v>
      </c>
      <c r="P308" s="284" t="str">
        <f>IF(OR($O308='Auto Responses'!$J$5,$L308='Auto Responses'!$J$5),'Auto Responses'!$J$5,$O308*$L308)</f>
        <v>N/A</v>
      </c>
      <c r="Q308" s="284">
        <f t="shared" si="29"/>
        <v>0</v>
      </c>
      <c r="R308" s="284">
        <f t="shared" si="33"/>
        <v>0</v>
      </c>
      <c r="S308" s="284">
        <f t="shared" si="30"/>
        <v>0</v>
      </c>
      <c r="T308" s="284">
        <f t="shared" si="31"/>
        <v>0</v>
      </c>
      <c r="U308" s="284">
        <f t="shared" si="34"/>
        <v>74</v>
      </c>
      <c r="V308" s="284">
        <f t="shared" si="32"/>
        <v>0</v>
      </c>
    </row>
    <row r="309" spans="1:22" ht="55.5" customHeight="1" x14ac:dyDescent="0.2">
      <c r="A309" s="315" t="str">
        <f>Questions!$A309</f>
        <v>AIGN-05</v>
      </c>
      <c r="B309" s="315" t="str">
        <f t="shared" si="28"/>
        <v>AIGN</v>
      </c>
      <c r="C309" s="315" t="str">
        <f>VLOOKUP($A309,Questions!$A$3:$L$333,2,0)&amp;""</f>
        <v>Does your solution support business rules to protect sensitive data from being ingested by the AI model?</v>
      </c>
      <c r="D309" s="315" t="str">
        <f>VLOOKUP($A309,Questions!$A$3:$L$333,11,0)&amp;""</f>
        <v/>
      </c>
      <c r="E309" s="315" t="str">
        <f>VLOOKUP($A309,Questions!$A$3:$L$333,12,0)&amp;""</f>
        <v>AI</v>
      </c>
      <c r="F309" s="315" t="str">
        <f>VLOOKUP($A309,'Institution Evaluation'!$A$56:$K$345,3,0)&amp;""</f>
        <v>N/A</v>
      </c>
      <c r="G309" s="315" t="str">
        <f>VLOOKUP($A309,'Institution Evaluation'!$A$56:$K$345,7,0)&amp;""</f>
        <v>Yes</v>
      </c>
      <c r="H309" s="315" t="str">
        <f>VLOOKUP($A309,'Institution Evaluation'!$A$56:$K$345,8,0)&amp;""</f>
        <v/>
      </c>
      <c r="I309" s="315" t="str">
        <f>VLOOKUP($A309,'Institution Evaluation'!$A$56:$K$345,9,0)&amp;""</f>
        <v>Standard Importance</v>
      </c>
      <c r="J309" s="315" t="str">
        <f>VLOOKUP($A309,'Institution Evaluation'!$A$56:$K$345,10,0)&amp;""</f>
        <v/>
      </c>
      <c r="K309" s="315">
        <f>IF($I309='Auto Responses'!$J$11,20,IF($I309='Auto Responses'!$J$13,5,10))</f>
        <v>10</v>
      </c>
      <c r="L309" s="284">
        <f>IF($E309='Auto Responses'!$L$13, 'Auto Responses'!$J$5,IF(AND($D309='Auto Responses'!$J$27,$H309=""),'Auto Responses'!$J$5,IF(AND($D309='Auto Responses'!$J$27,$H309='Auto Responses'!$J$7),1,IF(AND($D309='Auto Responses'!$J$27,$H309='Auto Responses'!$J$8),0,IF(OR(AND($F309=$G309,$H309=""),$H309='Auto Responses'!$J$7),1,0)))))</f>
        <v>0</v>
      </c>
      <c r="M309" s="315" t="str">
        <f>VLOOKUP($A309,'Institution Evaluation'!$A$56:$K$345,11,0)&amp;""</f>
        <v>FALSCH</v>
      </c>
      <c r="N309" s="315">
        <f>IF($J309='Auto Responses'!$J$11,1,IF(AND($J309="",$I309='Auto Responses'!$J$11),1,0))</f>
        <v>0</v>
      </c>
      <c r="O309" s="284" t="str">
        <f>IF(OR($F$20='Auto Responses'!$J$4,$E309='Auto Responses'!$L$13,$F309='Auto Responses'!$J$5),'Auto Responses'!$J$5,IF($J309="",$K309,IF($J309='Auto Responses'!$J$13,5,IF($J309='Auto Responses'!$J$12,10,IF($J309='Auto Responses'!$J$11,20,0)))))</f>
        <v>N/A</v>
      </c>
      <c r="P309" s="284" t="str">
        <f>IF(OR($O309='Auto Responses'!$J$5,$L309='Auto Responses'!$J$5),'Auto Responses'!$J$5,$O309*$L309)</f>
        <v>N/A</v>
      </c>
      <c r="Q309" s="284">
        <f t="shared" si="29"/>
        <v>0</v>
      </c>
      <c r="R309" s="284">
        <f t="shared" si="33"/>
        <v>0</v>
      </c>
      <c r="S309" s="284">
        <f t="shared" si="30"/>
        <v>0</v>
      </c>
      <c r="T309" s="284">
        <f t="shared" si="31"/>
        <v>0</v>
      </c>
      <c r="U309" s="284">
        <f t="shared" si="34"/>
        <v>74</v>
      </c>
      <c r="V309" s="284">
        <f t="shared" si="32"/>
        <v>0</v>
      </c>
    </row>
    <row r="310" spans="1:22" ht="69.75" customHeight="1" x14ac:dyDescent="0.2">
      <c r="A310" s="315" t="str">
        <f>Questions!$A310</f>
        <v>AIPL-01</v>
      </c>
      <c r="B310" s="315" t="str">
        <f t="shared" si="28"/>
        <v>AIPL</v>
      </c>
      <c r="C310" s="315" t="str">
        <f>VLOOKUP($A310,Questions!$A$3:$L$333,2,0)&amp;""</f>
        <v>Are your AI developer's policies, processes, procedures, and practices across the organization related to the mapping, measuring, and managing of AI risks conspicuously posted, unambiguous, and implemented effectively?*</v>
      </c>
      <c r="D310" s="315" t="str">
        <f>VLOOKUP($A310,Questions!$A$3:$L$333,11,0)&amp;""</f>
        <v/>
      </c>
      <c r="E310" s="315" t="str">
        <f>VLOOKUP($A310,Questions!$A$3:$L$333,12,0)&amp;""</f>
        <v>AI</v>
      </c>
      <c r="F310" s="315" t="str">
        <f>VLOOKUP($A310,'Institution Evaluation'!$A$56:$K$345,3,0)&amp;""</f>
        <v>N/A</v>
      </c>
      <c r="G310" s="315" t="str">
        <f>VLOOKUP($A310,'Institution Evaluation'!$A$56:$K$345,7,0)&amp;""</f>
        <v>Yes</v>
      </c>
      <c r="H310" s="315" t="str">
        <f>VLOOKUP($A310,'Institution Evaluation'!$A$56:$K$345,8,0)&amp;""</f>
        <v/>
      </c>
      <c r="I310" s="315" t="str">
        <f>VLOOKUP($A310,'Institution Evaluation'!$A$56:$K$345,9,0)&amp;""</f>
        <v>Critical Importance</v>
      </c>
      <c r="J310" s="315" t="str">
        <f>VLOOKUP($A310,'Institution Evaluation'!$A$56:$K$345,10,0)&amp;""</f>
        <v/>
      </c>
      <c r="K310" s="315">
        <f>IF($I310='Auto Responses'!$J$11,20,IF($I310='Auto Responses'!$J$13,5,10))</f>
        <v>20</v>
      </c>
      <c r="L310" s="284">
        <f>IF($E310='Auto Responses'!$L$13, 'Auto Responses'!$J$5,IF(AND($D310='Auto Responses'!$J$27,$H310=""),'Auto Responses'!$J$5,IF(AND($D310='Auto Responses'!$J$27,$H310='Auto Responses'!$J$7),1,IF(AND($D310='Auto Responses'!$J$27,$H310='Auto Responses'!$J$8),0,IF(OR(AND($F310=$G310,$H310=""),$H310='Auto Responses'!$J$7),1,0)))))</f>
        <v>0</v>
      </c>
      <c r="M310" s="315" t="str">
        <f>VLOOKUP($A310,'Institution Evaluation'!$A$56:$K$345,11,0)&amp;""</f>
        <v>FALSCH</v>
      </c>
      <c r="N310" s="315">
        <f>IF($J310='Auto Responses'!$J$11,1,IF(AND($J310="",$I310='Auto Responses'!$J$11),1,0))</f>
        <v>1</v>
      </c>
      <c r="O310" s="284" t="str">
        <f>IF(OR($F$20='Auto Responses'!$J$4,$E310='Auto Responses'!$L$13,$F310='Auto Responses'!$J$5),'Auto Responses'!$J$5,IF($J310="",$K310,IF($J310='Auto Responses'!$J$13,5,IF($J310='Auto Responses'!$J$12,10,IF($J310='Auto Responses'!$J$11,20,0)))))</f>
        <v>N/A</v>
      </c>
      <c r="P310" s="284" t="str">
        <f>IF(OR($O310='Auto Responses'!$J$5,$L310='Auto Responses'!$J$5),'Auto Responses'!$J$5,$O310*$L310)</f>
        <v>N/A</v>
      </c>
      <c r="Q310" s="284">
        <f t="shared" si="29"/>
        <v>0</v>
      </c>
      <c r="R310" s="284">
        <f t="shared" si="33"/>
        <v>0</v>
      </c>
      <c r="S310" s="284">
        <f t="shared" si="30"/>
        <v>0</v>
      </c>
      <c r="T310" s="284">
        <f t="shared" si="31"/>
        <v>1</v>
      </c>
      <c r="U310" s="284">
        <f t="shared" si="34"/>
        <v>75</v>
      </c>
      <c r="V310" s="284">
        <f t="shared" si="32"/>
        <v>75</v>
      </c>
    </row>
    <row r="311" spans="1:22" ht="55.5" customHeight="1" x14ac:dyDescent="0.2">
      <c r="A311" s="315" t="str">
        <f>Questions!$A311</f>
        <v>AIPL-02</v>
      </c>
      <c r="B311" s="315" t="str">
        <f t="shared" si="28"/>
        <v>AIPL</v>
      </c>
      <c r="C311" s="315" t="str">
        <f>VLOOKUP($A311,Questions!$A$3:$L$333,2,0)&amp;""</f>
        <v>Have you identified and measured AI risks?*</v>
      </c>
      <c r="D311" s="315" t="str">
        <f>VLOOKUP($A311,Questions!$A$3:$L$333,11,0)&amp;""</f>
        <v/>
      </c>
      <c r="E311" s="315" t="str">
        <f>VLOOKUP($A311,Questions!$A$3:$L$333,12,0)&amp;""</f>
        <v>AI</v>
      </c>
      <c r="F311" s="315" t="str">
        <f>VLOOKUP($A311,'Institution Evaluation'!$A$56:$K$345,3,0)&amp;""</f>
        <v>N/A</v>
      </c>
      <c r="G311" s="315" t="str">
        <f>VLOOKUP($A311,'Institution Evaluation'!$A$56:$K$345,7,0)&amp;""</f>
        <v>Yes</v>
      </c>
      <c r="H311" s="315" t="str">
        <f>VLOOKUP($A311,'Institution Evaluation'!$A$56:$K$345,8,0)&amp;""</f>
        <v/>
      </c>
      <c r="I311" s="315" t="str">
        <f>VLOOKUP($A311,'Institution Evaluation'!$A$56:$K$345,9,0)&amp;""</f>
        <v>Critical Importance</v>
      </c>
      <c r="J311" s="315" t="str">
        <f>VLOOKUP($A311,'Institution Evaluation'!$A$56:$K$345,10,0)&amp;""</f>
        <v/>
      </c>
      <c r="K311" s="315">
        <f>IF($I311='Auto Responses'!$J$11,20,IF($I311='Auto Responses'!$J$13,5,10))</f>
        <v>20</v>
      </c>
      <c r="L311" s="284">
        <f>IF($E311='Auto Responses'!$L$13, 'Auto Responses'!$J$5,IF(AND($D311='Auto Responses'!$J$27,$H311=""),'Auto Responses'!$J$5,IF(AND($D311='Auto Responses'!$J$27,$H311='Auto Responses'!$J$7),1,IF(AND($D311='Auto Responses'!$J$27,$H311='Auto Responses'!$J$8),0,IF(OR(AND($F311=$G311,$H311=""),$H311='Auto Responses'!$J$7),1,0)))))</f>
        <v>0</v>
      </c>
      <c r="M311" s="315" t="str">
        <f>VLOOKUP($A311,'Institution Evaluation'!$A$56:$K$345,11,0)&amp;""</f>
        <v>FALSCH</v>
      </c>
      <c r="N311" s="315">
        <f>IF($J311='Auto Responses'!$J$11,1,IF(AND($J311="",$I311='Auto Responses'!$J$11),1,0))</f>
        <v>1</v>
      </c>
      <c r="O311" s="284" t="str">
        <f>IF(OR($F$20='Auto Responses'!$J$4,$E311='Auto Responses'!$L$13,$F311='Auto Responses'!$J$5),'Auto Responses'!$J$5,IF($J311="",$K311,IF($J311='Auto Responses'!$J$13,5,IF($J311='Auto Responses'!$J$12,10,IF($J311='Auto Responses'!$J$11,20,0)))))</f>
        <v>N/A</v>
      </c>
      <c r="P311" s="284" t="str">
        <f>IF(OR($O311='Auto Responses'!$J$5,$L311='Auto Responses'!$J$5),'Auto Responses'!$J$5,$O311*$L311)</f>
        <v>N/A</v>
      </c>
      <c r="Q311" s="284">
        <f t="shared" si="29"/>
        <v>0</v>
      </c>
      <c r="R311" s="284">
        <f t="shared" si="33"/>
        <v>0</v>
      </c>
      <c r="S311" s="284">
        <f t="shared" si="30"/>
        <v>0</v>
      </c>
      <c r="T311" s="284">
        <f t="shared" si="31"/>
        <v>1</v>
      </c>
      <c r="U311" s="284">
        <f t="shared" si="34"/>
        <v>76</v>
      </c>
      <c r="V311" s="284">
        <f t="shared" si="32"/>
        <v>76</v>
      </c>
    </row>
    <row r="312" spans="1:22" ht="55.5" customHeight="1" x14ac:dyDescent="0.2">
      <c r="A312" s="315" t="str">
        <f>Questions!$A312</f>
        <v>AIPL-03</v>
      </c>
      <c r="B312" s="315" t="str">
        <f t="shared" si="28"/>
        <v>AIPL</v>
      </c>
      <c r="C312" s="315" t="str">
        <f>VLOOKUP($A312,Questions!$A$3:$L$333,2,0)&amp;""</f>
        <v>In the event of an incident, can your solution's AI features be disabled in a timely manner?*</v>
      </c>
      <c r="D312" s="315" t="str">
        <f>VLOOKUP($A312,Questions!$A$3:$L$333,11,0)&amp;""</f>
        <v/>
      </c>
      <c r="E312" s="315" t="str">
        <f>VLOOKUP($A312,Questions!$A$3:$L$333,12,0)&amp;""</f>
        <v>AI</v>
      </c>
      <c r="F312" s="315" t="str">
        <f>VLOOKUP($A312,'Institution Evaluation'!$A$56:$K$345,3,0)&amp;""</f>
        <v>N/A</v>
      </c>
      <c r="G312" s="315" t="str">
        <f>VLOOKUP($A312,'Institution Evaluation'!$A$56:$K$345,7,0)&amp;""</f>
        <v>Yes</v>
      </c>
      <c r="H312" s="315" t="str">
        <f>VLOOKUP($A312,'Institution Evaluation'!$A$56:$K$345,8,0)&amp;""</f>
        <v/>
      </c>
      <c r="I312" s="315" t="str">
        <f>VLOOKUP($A312,'Institution Evaluation'!$A$56:$K$345,9,0)&amp;""</f>
        <v>Critical Importance</v>
      </c>
      <c r="J312" s="315" t="str">
        <f>VLOOKUP($A312,'Institution Evaluation'!$A$56:$K$345,10,0)&amp;""</f>
        <v/>
      </c>
      <c r="K312" s="315">
        <f>IF($I312='Auto Responses'!$J$11,20,IF($I312='Auto Responses'!$J$13,5,10))</f>
        <v>20</v>
      </c>
      <c r="L312" s="284">
        <f>IF($E312='Auto Responses'!$L$13, 'Auto Responses'!$J$5,IF(AND($D312='Auto Responses'!$J$27,$H312=""),'Auto Responses'!$J$5,IF(AND($D312='Auto Responses'!$J$27,$H312='Auto Responses'!$J$7),1,IF(AND($D312='Auto Responses'!$J$27,$H312='Auto Responses'!$J$8),0,IF(OR(AND($F312=$G312,$H312=""),$H312='Auto Responses'!$J$7),1,0)))))</f>
        <v>0</v>
      </c>
      <c r="M312" s="315" t="str">
        <f>VLOOKUP($A312,'Institution Evaluation'!$A$56:$K$345,11,0)&amp;""</f>
        <v>FALSCH</v>
      </c>
      <c r="N312" s="315">
        <f>IF($J312='Auto Responses'!$J$11,1,IF(AND($J312="",$I312='Auto Responses'!$J$11),1,0))</f>
        <v>1</v>
      </c>
      <c r="O312" s="284" t="str">
        <f>IF(OR($F$20='Auto Responses'!$J$4,$E312='Auto Responses'!$L$13,$F312='Auto Responses'!$J$5),'Auto Responses'!$J$5,IF($J312="",$K312,IF($J312='Auto Responses'!$J$13,5,IF($J312='Auto Responses'!$J$12,10,IF($J312='Auto Responses'!$J$11,20,0)))))</f>
        <v>N/A</v>
      </c>
      <c r="P312" s="284" t="str">
        <f>IF(OR($O312='Auto Responses'!$J$5,$L312='Auto Responses'!$J$5),'Auto Responses'!$J$5,$O312*$L312)</f>
        <v>N/A</v>
      </c>
      <c r="Q312" s="284">
        <f t="shared" si="29"/>
        <v>0</v>
      </c>
      <c r="R312" s="284">
        <f t="shared" si="33"/>
        <v>0</v>
      </c>
      <c r="S312" s="284">
        <f t="shared" si="30"/>
        <v>0</v>
      </c>
      <c r="T312" s="284">
        <f t="shared" si="31"/>
        <v>1</v>
      </c>
      <c r="U312" s="284">
        <f t="shared" si="34"/>
        <v>77</v>
      </c>
      <c r="V312" s="284">
        <f t="shared" si="32"/>
        <v>77</v>
      </c>
    </row>
    <row r="313" spans="1:22" ht="55.5" customHeight="1" x14ac:dyDescent="0.2">
      <c r="A313" s="315" t="str">
        <f>Questions!$A313</f>
        <v>AIPL-04</v>
      </c>
      <c r="B313" s="315" t="str">
        <f t="shared" si="28"/>
        <v>AIPL</v>
      </c>
      <c r="C313" s="315" t="str">
        <f>VLOOKUP($A313,Questions!$A$3:$L$333,2,0)&amp;""</f>
        <v>If disabled because of an incident, can your solution's AI features be re-enabled in a timely manner?*</v>
      </c>
      <c r="D313" s="315" t="str">
        <f>VLOOKUP($A313,Questions!$A$3:$L$333,11,0)&amp;""</f>
        <v/>
      </c>
      <c r="E313" s="315" t="str">
        <f>VLOOKUP($A313,Questions!$A$3:$L$333,12,0)&amp;""</f>
        <v>AI</v>
      </c>
      <c r="F313" s="315" t="str">
        <f>VLOOKUP($A313,'Institution Evaluation'!$A$56:$K$345,3,0)&amp;""</f>
        <v>N/A</v>
      </c>
      <c r="G313" s="315" t="str">
        <f>VLOOKUP($A313,'Institution Evaluation'!$A$56:$K$345,7,0)&amp;""</f>
        <v>Yes</v>
      </c>
      <c r="H313" s="315" t="str">
        <f>VLOOKUP($A313,'Institution Evaluation'!$A$56:$K$345,8,0)&amp;""</f>
        <v/>
      </c>
      <c r="I313" s="315" t="str">
        <f>VLOOKUP($A313,'Institution Evaluation'!$A$56:$K$345,9,0)&amp;""</f>
        <v>Critical Importance</v>
      </c>
      <c r="J313" s="315" t="str">
        <f>VLOOKUP($A313,'Institution Evaluation'!$A$56:$K$345,10,0)&amp;""</f>
        <v/>
      </c>
      <c r="K313" s="315">
        <f>IF($I313='Auto Responses'!$J$11,20,IF($I313='Auto Responses'!$J$13,5,10))</f>
        <v>20</v>
      </c>
      <c r="L313" s="284">
        <f>IF($E313='Auto Responses'!$L$13, 'Auto Responses'!$J$5,IF(AND($D313='Auto Responses'!$J$27,$H313=""),'Auto Responses'!$J$5,IF(AND($D313='Auto Responses'!$J$27,$H313='Auto Responses'!$J$7),1,IF(AND($D313='Auto Responses'!$J$27,$H313='Auto Responses'!$J$8),0,IF(OR(AND($F313=$G313,$H313=""),$H313='Auto Responses'!$J$7),1,0)))))</f>
        <v>0</v>
      </c>
      <c r="M313" s="315" t="str">
        <f>VLOOKUP($A313,'Institution Evaluation'!$A$56:$K$345,11,0)&amp;""</f>
        <v>FALSCH</v>
      </c>
      <c r="N313" s="315">
        <f>IF($J313='Auto Responses'!$J$11,1,IF(AND($J313="",$I313='Auto Responses'!$J$11),1,0))</f>
        <v>1</v>
      </c>
      <c r="O313" s="284" t="str">
        <f>IF(OR($F$20='Auto Responses'!$J$4,$E313='Auto Responses'!$L$13,$F313='Auto Responses'!$J$5),'Auto Responses'!$J$5,IF($J313="",$K313,IF($J313='Auto Responses'!$J$13,5,IF($J313='Auto Responses'!$J$12,10,IF($J313='Auto Responses'!$J$11,20,0)))))</f>
        <v>N/A</v>
      </c>
      <c r="P313" s="284" t="str">
        <f>IF(OR($O313='Auto Responses'!$J$5,$L313='Auto Responses'!$J$5),'Auto Responses'!$J$5,$O313*$L313)</f>
        <v>N/A</v>
      </c>
      <c r="Q313" s="284">
        <f t="shared" si="29"/>
        <v>0</v>
      </c>
      <c r="R313" s="284">
        <f t="shared" si="33"/>
        <v>0</v>
      </c>
      <c r="S313" s="284">
        <f t="shared" si="30"/>
        <v>0</v>
      </c>
      <c r="T313" s="284">
        <f t="shared" si="31"/>
        <v>1</v>
      </c>
      <c r="U313" s="284">
        <f t="shared" si="34"/>
        <v>78</v>
      </c>
      <c r="V313" s="284">
        <f t="shared" si="32"/>
        <v>78</v>
      </c>
    </row>
    <row r="314" spans="1:22" ht="55.5" customHeight="1" x14ac:dyDescent="0.2">
      <c r="A314" s="315" t="str">
        <f>Questions!$A314</f>
        <v>AIPL-05</v>
      </c>
      <c r="B314" s="315" t="str">
        <f t="shared" si="28"/>
        <v>AIPL</v>
      </c>
      <c r="C314" s="315" t="str">
        <f>VLOOKUP($A314,Questions!$A$3:$L$333,2,0)&amp;""</f>
        <v>Do you have documented technical and procedural processes to address potential negative impacts of AI as described by the AI Risk Management Framework (RMF)?</v>
      </c>
      <c r="D314" s="315" t="str">
        <f>VLOOKUP($A314,Questions!$A$3:$L$333,11,0)&amp;""</f>
        <v/>
      </c>
      <c r="E314" s="315" t="str">
        <f>VLOOKUP($A314,Questions!$A$3:$L$333,12,0)&amp;""</f>
        <v>AI</v>
      </c>
      <c r="F314" s="315" t="str">
        <f>VLOOKUP($A314,'Institution Evaluation'!$A$56:$K$345,3,0)&amp;""</f>
        <v>N/A</v>
      </c>
      <c r="G314" s="315" t="str">
        <f>VLOOKUP($A314,'Institution Evaluation'!$A$56:$K$345,7,0)&amp;""</f>
        <v>Yes</v>
      </c>
      <c r="H314" s="315" t="str">
        <f>VLOOKUP($A314,'Institution Evaluation'!$A$56:$K$345,8,0)&amp;""</f>
        <v/>
      </c>
      <c r="I314" s="315" t="str">
        <f>VLOOKUP($A314,'Institution Evaluation'!$A$56:$K$345,9,0)&amp;""</f>
        <v>Minor Importance</v>
      </c>
      <c r="J314" s="315" t="str">
        <f>VLOOKUP($A314,'Institution Evaluation'!$A$56:$K$345,10,0)&amp;""</f>
        <v/>
      </c>
      <c r="K314" s="315">
        <f>IF($I314='Auto Responses'!$J$11,20,IF($I314='Auto Responses'!$J$13,5,10))</f>
        <v>5</v>
      </c>
      <c r="L314" s="284">
        <f>IF($E314='Auto Responses'!$L$13, 'Auto Responses'!$J$5,IF(AND($D314='Auto Responses'!$J$27,$H314=""),'Auto Responses'!$J$5,IF(AND($D314='Auto Responses'!$J$27,$H314='Auto Responses'!$J$7),1,IF(AND($D314='Auto Responses'!$J$27,$H314='Auto Responses'!$J$8),0,IF(OR(AND($F314=$G314,$H314=""),$H314='Auto Responses'!$J$7),1,0)))))</f>
        <v>0</v>
      </c>
      <c r="M314" s="315" t="str">
        <f>VLOOKUP($A314,'Institution Evaluation'!$A$56:$K$345,11,0)&amp;""</f>
        <v>FALSCH</v>
      </c>
      <c r="N314" s="315">
        <f>IF($J314='Auto Responses'!$J$11,1,IF(AND($J314="",$I314='Auto Responses'!$J$11),1,0))</f>
        <v>0</v>
      </c>
      <c r="O314" s="284" t="str">
        <f>IF(OR($F$20='Auto Responses'!$J$4,$E314='Auto Responses'!$L$13,$F314='Auto Responses'!$J$5),'Auto Responses'!$J$5,IF($J314="",$K314,IF($J314='Auto Responses'!$J$13,5,IF($J314='Auto Responses'!$J$12,10,IF($J314='Auto Responses'!$J$11,20,0)))))</f>
        <v>N/A</v>
      </c>
      <c r="P314" s="284" t="str">
        <f>IF(OR($O314='Auto Responses'!$J$5,$L314='Auto Responses'!$J$5),'Auto Responses'!$J$5,$O314*$L314)</f>
        <v>N/A</v>
      </c>
      <c r="Q314" s="284">
        <f t="shared" si="29"/>
        <v>0</v>
      </c>
      <c r="R314" s="284">
        <f t="shared" si="33"/>
        <v>0</v>
      </c>
      <c r="S314" s="284">
        <f t="shared" si="30"/>
        <v>0</v>
      </c>
      <c r="T314" s="284">
        <f t="shared" si="31"/>
        <v>0</v>
      </c>
      <c r="U314" s="284">
        <f t="shared" si="34"/>
        <v>78</v>
      </c>
      <c r="V314" s="284">
        <f t="shared" si="32"/>
        <v>0</v>
      </c>
    </row>
    <row r="315" spans="1:22" ht="55.5" customHeight="1" x14ac:dyDescent="0.2">
      <c r="A315" s="315" t="str">
        <f>Questions!$A315</f>
        <v>AISC-01</v>
      </c>
      <c r="B315" s="315" t="str">
        <f t="shared" si="28"/>
        <v>AISC</v>
      </c>
      <c r="C315" s="315" t="str">
        <f>VLOOKUP($A315,Questions!$A$3:$L$333,2,0)&amp;""</f>
        <v>If sensitive data is introduced to your solution's AI model, can the data be removed from the AI model by request?*</v>
      </c>
      <c r="D315" s="315" t="str">
        <f>VLOOKUP($A315,Questions!$A$3:$L$333,11,0)&amp;""</f>
        <v/>
      </c>
      <c r="E315" s="315" t="str">
        <f>VLOOKUP($A315,Questions!$A$3:$L$333,12,0)&amp;""</f>
        <v>AI</v>
      </c>
      <c r="F315" s="315" t="str">
        <f>VLOOKUP($A315,'Institution Evaluation'!$A$56:$K$345,3,0)&amp;""</f>
        <v>N/A</v>
      </c>
      <c r="G315" s="315" t="str">
        <f>VLOOKUP($A315,'Institution Evaluation'!$A$56:$K$345,7,0)&amp;""</f>
        <v>Yes</v>
      </c>
      <c r="H315" s="315" t="str">
        <f>VLOOKUP($A315,'Institution Evaluation'!$A$56:$K$345,8,0)&amp;""</f>
        <v/>
      </c>
      <c r="I315" s="315" t="str">
        <f>VLOOKUP($A315,'Institution Evaluation'!$A$56:$K$345,9,0)&amp;""</f>
        <v>Critical Importance</v>
      </c>
      <c r="J315" s="315" t="str">
        <f>VLOOKUP($A315,'Institution Evaluation'!$A$56:$K$345,10,0)&amp;""</f>
        <v/>
      </c>
      <c r="K315" s="315">
        <f>IF($I315='Auto Responses'!$J$11,20,IF($I315='Auto Responses'!$J$13,5,10))</f>
        <v>20</v>
      </c>
      <c r="L315" s="284">
        <f>IF($E315='Auto Responses'!$L$13, 'Auto Responses'!$J$5,IF(AND($D315='Auto Responses'!$J$27,$H315=""),'Auto Responses'!$J$5,IF(AND($D315='Auto Responses'!$J$27,$H315='Auto Responses'!$J$7),1,IF(AND($D315='Auto Responses'!$J$27,$H315='Auto Responses'!$J$8),0,IF(OR(AND($F315=$G315,$H315=""),$H315='Auto Responses'!$J$7),1,0)))))</f>
        <v>0</v>
      </c>
      <c r="M315" s="315" t="str">
        <f>VLOOKUP($A315,'Institution Evaluation'!$A$56:$K$345,11,0)&amp;""</f>
        <v>FALSCH</v>
      </c>
      <c r="N315" s="315">
        <f>IF($J315='Auto Responses'!$J$11,1,IF(AND($J315="",$I315='Auto Responses'!$J$11),1,0))</f>
        <v>1</v>
      </c>
      <c r="O315" s="284" t="str">
        <f>IF(OR($F$20='Auto Responses'!$J$4,$E315='Auto Responses'!$L$13,$F315='Auto Responses'!$J$5),'Auto Responses'!$J$5,IF($J315="",$K315,IF($J315='Auto Responses'!$J$13,5,IF($J315='Auto Responses'!$J$12,10,IF($J315='Auto Responses'!$J$11,20,0)))))</f>
        <v>N/A</v>
      </c>
      <c r="P315" s="284" t="str">
        <f>IF(OR($O315='Auto Responses'!$J$5,$L315='Auto Responses'!$J$5),'Auto Responses'!$J$5,$O315*$L315)</f>
        <v>N/A</v>
      </c>
      <c r="Q315" s="284">
        <f t="shared" si="29"/>
        <v>0</v>
      </c>
      <c r="R315" s="284">
        <f t="shared" si="33"/>
        <v>0</v>
      </c>
      <c r="S315" s="284">
        <f t="shared" si="30"/>
        <v>0</v>
      </c>
      <c r="T315" s="284">
        <f t="shared" si="31"/>
        <v>1</v>
      </c>
      <c r="U315" s="284">
        <f t="shared" si="34"/>
        <v>79</v>
      </c>
      <c r="V315" s="284">
        <f t="shared" si="32"/>
        <v>79</v>
      </c>
    </row>
    <row r="316" spans="1:22" ht="55.5" customHeight="1" x14ac:dyDescent="0.2">
      <c r="A316" s="315" t="str">
        <f>Questions!$A316</f>
        <v>AISC-02</v>
      </c>
      <c r="B316" s="315" t="str">
        <f t="shared" si="28"/>
        <v>AISC</v>
      </c>
      <c r="C316" s="315" t="str">
        <f>VLOOKUP($A316,Questions!$A$3:$L$333,2,0)&amp;""</f>
        <v>Is user input data used to influence your solution's AI model?*</v>
      </c>
      <c r="D316" s="315" t="str">
        <f>VLOOKUP($A316,Questions!$A$3:$L$333,11,0)&amp;""</f>
        <v/>
      </c>
      <c r="E316" s="315" t="str">
        <f>VLOOKUP($A316,Questions!$A$3:$L$333,12,0)&amp;""</f>
        <v>AI</v>
      </c>
      <c r="F316" s="315" t="str">
        <f>VLOOKUP($A316,'Institution Evaluation'!$A$56:$K$345,3,0)&amp;""</f>
        <v>N/A</v>
      </c>
      <c r="G316" s="315" t="str">
        <f>VLOOKUP($A316,'Institution Evaluation'!$A$56:$K$345,7,0)&amp;""</f>
        <v>No</v>
      </c>
      <c r="H316" s="315" t="str">
        <f>VLOOKUP($A316,'Institution Evaluation'!$A$56:$K$345,8,0)&amp;""</f>
        <v/>
      </c>
      <c r="I316" s="315" t="str">
        <f>VLOOKUP($A316,'Institution Evaluation'!$A$56:$K$345,9,0)&amp;""</f>
        <v>Critical Importance</v>
      </c>
      <c r="J316" s="315" t="str">
        <f>VLOOKUP($A316,'Institution Evaluation'!$A$56:$K$345,10,0)&amp;""</f>
        <v/>
      </c>
      <c r="K316" s="315">
        <f>IF($I316='Auto Responses'!$J$11,20,IF($I316='Auto Responses'!$J$13,5,10))</f>
        <v>20</v>
      </c>
      <c r="L316" s="284">
        <f>IF($E316='Auto Responses'!$L$13, 'Auto Responses'!$J$5,IF(AND($D316='Auto Responses'!$J$27,$H316=""),'Auto Responses'!$J$5,IF(AND($D316='Auto Responses'!$J$27,$H316='Auto Responses'!$J$7),1,IF(AND($D316='Auto Responses'!$J$27,$H316='Auto Responses'!$J$8),0,IF(OR(AND($F316=$G316,$H316=""),$H316='Auto Responses'!$J$7),1,0)))))</f>
        <v>0</v>
      </c>
      <c r="M316" s="315" t="str">
        <f>VLOOKUP($A316,'Institution Evaluation'!$A$56:$K$345,11,0)&amp;""</f>
        <v>FALSCH</v>
      </c>
      <c r="N316" s="315">
        <f>IF($J316='Auto Responses'!$J$11,1,IF(AND($J316="",$I316='Auto Responses'!$J$11),1,0))</f>
        <v>1</v>
      </c>
      <c r="O316" s="284" t="str">
        <f>IF(OR($F$20='Auto Responses'!$J$4,$E316='Auto Responses'!$L$13,$F316='Auto Responses'!$J$5),'Auto Responses'!$J$5,IF($J316="",$K316,IF($J316='Auto Responses'!$J$13,5,IF($J316='Auto Responses'!$J$12,10,IF($J316='Auto Responses'!$J$11,20,0)))))</f>
        <v>N/A</v>
      </c>
      <c r="P316" s="284" t="str">
        <f>IF(OR($O316='Auto Responses'!$J$5,$L316='Auto Responses'!$J$5),'Auto Responses'!$J$5,$O316*$L316)</f>
        <v>N/A</v>
      </c>
      <c r="Q316" s="284">
        <f t="shared" si="29"/>
        <v>0</v>
      </c>
      <c r="R316" s="284">
        <f t="shared" si="33"/>
        <v>0</v>
      </c>
      <c r="S316" s="284">
        <f t="shared" si="30"/>
        <v>0</v>
      </c>
      <c r="T316" s="284">
        <f t="shared" si="31"/>
        <v>1</v>
      </c>
      <c r="U316" s="284">
        <f t="shared" si="34"/>
        <v>80</v>
      </c>
      <c r="V316" s="284">
        <f t="shared" si="32"/>
        <v>80</v>
      </c>
    </row>
    <row r="317" spans="1:22" ht="55.5" customHeight="1" x14ac:dyDescent="0.2">
      <c r="A317" s="315" t="str">
        <f>Questions!$A317</f>
        <v>AISC-03</v>
      </c>
      <c r="B317" s="315" t="str">
        <f t="shared" si="28"/>
        <v>AISC</v>
      </c>
      <c r="C317" s="315" t="str">
        <f>VLOOKUP($A317,Questions!$A$3:$L$333,2,0)&amp;""</f>
        <v>Do you provide logging for your solution's AI feature(s) that includes user, date, and action taken?*</v>
      </c>
      <c r="D317" s="315" t="str">
        <f>VLOOKUP($A317,Questions!$A$3:$L$333,11,0)&amp;""</f>
        <v/>
      </c>
      <c r="E317" s="315" t="str">
        <f>VLOOKUP($A317,Questions!$A$3:$L$333,12,0)&amp;""</f>
        <v>AI</v>
      </c>
      <c r="F317" s="315" t="str">
        <f>VLOOKUP($A317,'Institution Evaluation'!$A$56:$K$345,3,0)&amp;""</f>
        <v>N/A</v>
      </c>
      <c r="G317" s="315" t="str">
        <f>VLOOKUP($A317,'Institution Evaluation'!$A$56:$K$345,7,0)&amp;""</f>
        <v>Yes</v>
      </c>
      <c r="H317" s="315" t="str">
        <f>VLOOKUP($A317,'Institution Evaluation'!$A$56:$K$345,8,0)&amp;""</f>
        <v/>
      </c>
      <c r="I317" s="315" t="str">
        <f>VLOOKUP($A317,'Institution Evaluation'!$A$56:$K$345,9,0)&amp;""</f>
        <v>Critical Importance</v>
      </c>
      <c r="J317" s="315" t="str">
        <f>VLOOKUP($A317,'Institution Evaluation'!$A$56:$K$345,10,0)&amp;""</f>
        <v/>
      </c>
      <c r="K317" s="315">
        <f>IF($I317='Auto Responses'!$J$11,20,IF($I317='Auto Responses'!$J$13,5,10))</f>
        <v>20</v>
      </c>
      <c r="L317" s="284">
        <f>IF($E317='Auto Responses'!$L$13, 'Auto Responses'!$J$5,IF(AND($D317='Auto Responses'!$J$27,$H317=""),'Auto Responses'!$J$5,IF(AND($D317='Auto Responses'!$J$27,$H317='Auto Responses'!$J$7),1,IF(AND($D317='Auto Responses'!$J$27,$H317='Auto Responses'!$J$8),0,IF(OR(AND($F317=$G317,$H317=""),$H317='Auto Responses'!$J$7),1,0)))))</f>
        <v>0</v>
      </c>
      <c r="M317" s="315" t="str">
        <f>VLOOKUP($A317,'Institution Evaluation'!$A$56:$K$345,11,0)&amp;""</f>
        <v>FALSCH</v>
      </c>
      <c r="N317" s="315">
        <f>IF($J317='Auto Responses'!$J$11,1,IF(AND($J317="",$I317='Auto Responses'!$J$11),1,0))</f>
        <v>1</v>
      </c>
      <c r="O317" s="284" t="str">
        <f>IF(OR($F$20='Auto Responses'!$J$4,$E317='Auto Responses'!$L$13,$F317='Auto Responses'!$J$5),'Auto Responses'!$J$5,IF($J317="",$K317,IF($J317='Auto Responses'!$J$13,5,IF($J317='Auto Responses'!$J$12,10,IF($J317='Auto Responses'!$J$11,20,0)))))</f>
        <v>N/A</v>
      </c>
      <c r="P317" s="284" t="str">
        <f>IF(OR($O317='Auto Responses'!$J$5,$L317='Auto Responses'!$J$5),'Auto Responses'!$J$5,$O317*$L317)</f>
        <v>N/A</v>
      </c>
      <c r="Q317" s="284">
        <f t="shared" si="29"/>
        <v>0</v>
      </c>
      <c r="R317" s="284">
        <f t="shared" si="33"/>
        <v>0</v>
      </c>
      <c r="S317" s="284">
        <f t="shared" si="30"/>
        <v>0</v>
      </c>
      <c r="T317" s="284">
        <f t="shared" si="31"/>
        <v>1</v>
      </c>
      <c r="U317" s="284">
        <f t="shared" si="34"/>
        <v>81</v>
      </c>
      <c r="V317" s="284">
        <f t="shared" si="32"/>
        <v>81</v>
      </c>
    </row>
    <row r="318" spans="1:22" ht="55.5" customHeight="1" x14ac:dyDescent="0.2">
      <c r="A318" s="315" t="str">
        <f>Questions!$A318</f>
        <v>AISC-04</v>
      </c>
      <c r="B318" s="315" t="str">
        <f t="shared" si="28"/>
        <v>AISC</v>
      </c>
      <c r="C318" s="315" t="str">
        <f>VLOOKUP($A318,Questions!$A$3:$L$333,2,0)&amp;""</f>
        <v>Please describe how you validate user inputs.</v>
      </c>
      <c r="D318" s="315" t="str">
        <f>VLOOKUP($A318,Questions!$A$3:$L$333,11,0)&amp;""</f>
        <v/>
      </c>
      <c r="E318" s="315" t="str">
        <f>VLOOKUP($A318,Questions!$A$3:$L$333,12,0)&amp;""</f>
        <v>Not scored</v>
      </c>
      <c r="F318" s="315" t="str">
        <f>VLOOKUP($A318,'Institution Evaluation'!$A$56:$K$345,3,0)&amp;""</f>
        <v>N/A</v>
      </c>
      <c r="G318" s="315" t="str">
        <f>VLOOKUP($A318,'Institution Evaluation'!$A$56:$K$345,7,0)&amp;""</f>
        <v>Not scored</v>
      </c>
      <c r="H318" s="315" t="str">
        <f>VLOOKUP($A318,'Institution Evaluation'!$A$56:$K$345,8,0)&amp;""</f>
        <v/>
      </c>
      <c r="I318" s="315" t="str">
        <f>VLOOKUP($A318,'Institution Evaluation'!$A$56:$K$345,9,0)&amp;""</f>
        <v/>
      </c>
      <c r="J318" s="315" t="str">
        <f>VLOOKUP($A318,'Institution Evaluation'!$A$56:$K$345,10,0)&amp;""</f>
        <v/>
      </c>
      <c r="K318" s="315">
        <f>IF($I318='Auto Responses'!$J$11,20,IF($I318='Auto Responses'!$J$13,5,10))</f>
        <v>10</v>
      </c>
      <c r="L318" s="284" t="str">
        <f>IF($E318='Auto Responses'!$L$13, 'Auto Responses'!$J$5,IF(AND($D318='Auto Responses'!$J$27,$H318=""),'Auto Responses'!$J$5,IF(AND($D318='Auto Responses'!$J$27,$H318='Auto Responses'!$J$7),1,IF(AND($D318='Auto Responses'!$J$27,$H318='Auto Responses'!$J$8),0,IF(OR(AND($F318=$G318,$H318=""),$H318='Auto Responses'!$J$7),1,0)))))</f>
        <v>N/A</v>
      </c>
      <c r="M318" s="315" t="str">
        <f>VLOOKUP($A318,'Institution Evaluation'!$A$56:$K$345,11,0)&amp;""</f>
        <v>FALSCH</v>
      </c>
      <c r="N318" s="315">
        <f>IF($J318='Auto Responses'!$J$11,1,IF(AND($J318="",$I318='Auto Responses'!$J$11),1,0))</f>
        <v>0</v>
      </c>
      <c r="O318" s="284" t="str">
        <f>IF(OR($F$20='Auto Responses'!$J$4,$E318='Auto Responses'!$L$13,$F318='Auto Responses'!$J$5),'Auto Responses'!$J$5,IF($J318="",$K318,IF($J318='Auto Responses'!$J$13,5,IF($J318='Auto Responses'!$J$12,10,IF($J318='Auto Responses'!$J$11,20,0)))))</f>
        <v>N/A</v>
      </c>
      <c r="P318" s="284" t="str">
        <f>IF(OR($O318='Auto Responses'!$J$5,$L318='Auto Responses'!$J$5),'Auto Responses'!$J$5,$O318*$L318)</f>
        <v>N/A</v>
      </c>
      <c r="Q318" s="284">
        <f t="shared" si="29"/>
        <v>0</v>
      </c>
      <c r="R318" s="284">
        <f t="shared" si="33"/>
        <v>0</v>
      </c>
      <c r="S318" s="284">
        <f t="shared" si="30"/>
        <v>0</v>
      </c>
      <c r="T318" s="284">
        <f t="shared" si="31"/>
        <v>0</v>
      </c>
      <c r="U318" s="284">
        <f t="shared" si="34"/>
        <v>81</v>
      </c>
      <c r="V318" s="284">
        <f t="shared" si="32"/>
        <v>0</v>
      </c>
    </row>
    <row r="319" spans="1:22" ht="55.5" customHeight="1" x14ac:dyDescent="0.2">
      <c r="A319" s="315" t="str">
        <f>Questions!$A319</f>
        <v>AISC-05</v>
      </c>
      <c r="B319" s="315" t="str">
        <f t="shared" si="28"/>
        <v>AISC</v>
      </c>
      <c r="C319" s="315" t="str">
        <f>VLOOKUP($A319,Questions!$A$3:$L$333,2,0)&amp;""</f>
        <v>Do you plan for and mitigate supply-chain risk related to your AI features?</v>
      </c>
      <c r="D319" s="315" t="str">
        <f>VLOOKUP($A319,Questions!$A$3:$L$333,11,0)&amp;""</f>
        <v/>
      </c>
      <c r="E319" s="315" t="str">
        <f>VLOOKUP($A319,Questions!$A$3:$L$333,12,0)&amp;""</f>
        <v>AI</v>
      </c>
      <c r="F319" s="315" t="str">
        <f>VLOOKUP($A319,'Institution Evaluation'!$A$56:$K$345,3,0)&amp;""</f>
        <v>N/A</v>
      </c>
      <c r="G319" s="315" t="str">
        <f>VLOOKUP($A319,'Institution Evaluation'!$A$56:$K$345,7,0)&amp;""</f>
        <v>Yes</v>
      </c>
      <c r="H319" s="315" t="str">
        <f>VLOOKUP($A319,'Institution Evaluation'!$A$56:$K$345,8,0)&amp;""</f>
        <v/>
      </c>
      <c r="I319" s="315" t="str">
        <f>VLOOKUP($A319,'Institution Evaluation'!$A$56:$K$345,9,0)&amp;""</f>
        <v>Standard Importance</v>
      </c>
      <c r="J319" s="315" t="str">
        <f>VLOOKUP($A319,'Institution Evaluation'!$A$56:$K$345,10,0)&amp;""</f>
        <v/>
      </c>
      <c r="K319" s="315">
        <f>IF($I319='Auto Responses'!$J$11,20,IF($I319='Auto Responses'!$J$13,5,10))</f>
        <v>10</v>
      </c>
      <c r="L319" s="284">
        <f>IF($E319='Auto Responses'!$L$13, 'Auto Responses'!$J$5,IF(AND($D319='Auto Responses'!$J$27,$H319=""),'Auto Responses'!$J$5,IF(AND($D319='Auto Responses'!$J$27,$H319='Auto Responses'!$J$7),1,IF(AND($D319='Auto Responses'!$J$27,$H319='Auto Responses'!$J$8),0,IF(OR(AND($F319=$G319,$H319=""),$H319='Auto Responses'!$J$7),1,0)))))</f>
        <v>0</v>
      </c>
      <c r="M319" s="315" t="str">
        <f>VLOOKUP($A319,'Institution Evaluation'!$A$56:$K$345,11,0)&amp;""</f>
        <v>FALSCH</v>
      </c>
      <c r="N319" s="315">
        <f>IF($J319='Auto Responses'!$J$11,1,IF(AND($J319="",$I319='Auto Responses'!$J$11),1,0))</f>
        <v>0</v>
      </c>
      <c r="O319" s="284" t="str">
        <f>IF(OR($F$20='Auto Responses'!$J$4,$E319='Auto Responses'!$L$13,$F319='Auto Responses'!$J$5),'Auto Responses'!$J$5,IF($J319="",$K319,IF($J319='Auto Responses'!$J$13,5,IF($J319='Auto Responses'!$J$12,10,IF($J319='Auto Responses'!$J$11,20,0)))))</f>
        <v>N/A</v>
      </c>
      <c r="P319" s="284" t="str">
        <f>IF(OR($O319='Auto Responses'!$J$5,$L319='Auto Responses'!$J$5),'Auto Responses'!$J$5,$O319*$L319)</f>
        <v>N/A</v>
      </c>
      <c r="Q319" s="284">
        <f t="shared" si="29"/>
        <v>0</v>
      </c>
      <c r="R319" s="284">
        <f t="shared" si="33"/>
        <v>0</v>
      </c>
      <c r="S319" s="284">
        <f t="shared" si="30"/>
        <v>0</v>
      </c>
      <c r="T319" s="284">
        <f t="shared" si="31"/>
        <v>0</v>
      </c>
      <c r="U319" s="284">
        <f t="shared" si="34"/>
        <v>81</v>
      </c>
      <c r="V319" s="284">
        <f t="shared" si="32"/>
        <v>0</v>
      </c>
    </row>
    <row r="320" spans="1:22" ht="55.5" customHeight="1" x14ac:dyDescent="0.2">
      <c r="A320" s="315" t="str">
        <f>Questions!$A320</f>
        <v>AIML-01</v>
      </c>
      <c r="B320" s="315" t="str">
        <f t="shared" si="28"/>
        <v>AIML</v>
      </c>
      <c r="C320" s="315" t="str">
        <f>VLOOKUP($A320,Questions!$A$3:$L$333,2,0)&amp;""</f>
        <v>Do you separate ML training data from your ML solution data?*</v>
      </c>
      <c r="D320" s="315" t="str">
        <f>VLOOKUP($A320,Questions!$A$3:$L$333,11,0)&amp;""</f>
        <v/>
      </c>
      <c r="E320" s="315" t="str">
        <f>VLOOKUP($A320,Questions!$A$3:$L$333,12,0)&amp;""</f>
        <v>AI</v>
      </c>
      <c r="F320" s="315" t="str">
        <f>VLOOKUP($A320,'Institution Evaluation'!$A$56:$K$345,3,0)&amp;""</f>
        <v>N/A</v>
      </c>
      <c r="G320" s="315" t="str">
        <f>VLOOKUP($A320,'Institution Evaluation'!$A$56:$K$345,7,0)&amp;""</f>
        <v>Yes</v>
      </c>
      <c r="H320" s="315" t="str">
        <f>VLOOKUP($A320,'Institution Evaluation'!$A$56:$K$345,8,0)&amp;""</f>
        <v/>
      </c>
      <c r="I320" s="315" t="str">
        <f>VLOOKUP($A320,'Institution Evaluation'!$A$56:$K$345,9,0)&amp;""</f>
        <v>Critical Importance</v>
      </c>
      <c r="J320" s="315" t="str">
        <f>VLOOKUP($A320,'Institution Evaluation'!$A$56:$K$345,10,0)&amp;""</f>
        <v/>
      </c>
      <c r="K320" s="315">
        <f>IF($I320='Auto Responses'!$J$11,20,IF($I320='Auto Responses'!$J$13,5,10))</f>
        <v>20</v>
      </c>
      <c r="L320" s="284">
        <f>IF($E320='Auto Responses'!$L$13, 'Auto Responses'!$J$5,IF(AND($D320='Auto Responses'!$J$27,$H320=""),'Auto Responses'!$J$5,IF(AND($D320='Auto Responses'!$J$27,$H320='Auto Responses'!$J$7),1,IF(AND($D320='Auto Responses'!$J$27,$H320='Auto Responses'!$J$8),0,IF(OR(AND($F320=$G320,$H320=""),$H320='Auto Responses'!$J$7),1,0)))))</f>
        <v>0</v>
      </c>
      <c r="M320" s="315" t="str">
        <f>VLOOKUP($A320,'Institution Evaluation'!$A$56:$K$345,11,0)&amp;""</f>
        <v>FALSCH</v>
      </c>
      <c r="N320" s="315">
        <f>IF($J320='Auto Responses'!$J$11,1,IF(AND($J320="",$I320='Auto Responses'!$J$11),1,0))</f>
        <v>1</v>
      </c>
      <c r="O320" s="284" t="str">
        <f>IF(OR($F$20='Auto Responses'!$J$4,$F$303='Auto Responses'!$J$4,$E320='Auto Responses'!$L$13,$F320='Auto Responses'!$J$5),'Auto Responses'!$J$5,IF($J320="",$K320,IF($J320='Auto Responses'!$J$13,5,IF($J320='Auto Responses'!$J$12,10,IF($J320='Auto Responses'!$J$11,20,0)))))</f>
        <v>N/A</v>
      </c>
      <c r="P320" s="284" t="str">
        <f>IF(OR($O320='Auto Responses'!$J$5,$L320='Auto Responses'!$J$5),'Auto Responses'!$J$5,$O320*$L320)</f>
        <v>N/A</v>
      </c>
      <c r="Q320" s="284">
        <f t="shared" si="29"/>
        <v>0</v>
      </c>
      <c r="R320" s="284">
        <f t="shared" si="33"/>
        <v>0</v>
      </c>
      <c r="S320" s="284">
        <f t="shared" si="30"/>
        <v>0</v>
      </c>
      <c r="T320" s="284">
        <f t="shared" si="31"/>
        <v>1</v>
      </c>
      <c r="U320" s="284">
        <f t="shared" si="34"/>
        <v>82</v>
      </c>
      <c r="V320" s="284">
        <f t="shared" si="32"/>
        <v>82</v>
      </c>
    </row>
    <row r="321" spans="1:23" ht="55.5" customHeight="1" x14ac:dyDescent="0.2">
      <c r="A321" s="315" t="str">
        <f>Questions!$A321</f>
        <v>AIML-02</v>
      </c>
      <c r="B321" s="315" t="str">
        <f t="shared" si="28"/>
        <v>AIML</v>
      </c>
      <c r="C321" s="315" t="str">
        <f>VLOOKUP($A321,Questions!$A$3:$L$333,2,0)&amp;""</f>
        <v>Do you authenticate and verify your ML model's feedback?*</v>
      </c>
      <c r="D321" s="315" t="str">
        <f>VLOOKUP($A321,Questions!$A$3:$L$333,11,0)&amp;""</f>
        <v/>
      </c>
      <c r="E321" s="315" t="str">
        <f>VLOOKUP($A321,Questions!$A$3:$L$333,12,0)&amp;""</f>
        <v>AI</v>
      </c>
      <c r="F321" s="315" t="str">
        <f>VLOOKUP($A321,'Institution Evaluation'!$A$56:$K$345,3,0)&amp;""</f>
        <v>N/A</v>
      </c>
      <c r="G321" s="315" t="str">
        <f>VLOOKUP($A321,'Institution Evaluation'!$A$56:$K$345,7,0)&amp;""</f>
        <v>Yes</v>
      </c>
      <c r="H321" s="315" t="str">
        <f>VLOOKUP($A321,'Institution Evaluation'!$A$56:$K$345,8,0)&amp;""</f>
        <v/>
      </c>
      <c r="I321" s="315" t="str">
        <f>VLOOKUP($A321,'Institution Evaluation'!$A$56:$K$345,9,0)&amp;""</f>
        <v>Critical Importance</v>
      </c>
      <c r="J321" s="315" t="str">
        <f>VLOOKUP($A321,'Institution Evaluation'!$A$56:$K$345,10,0)&amp;""</f>
        <v/>
      </c>
      <c r="K321" s="315">
        <f>IF($I321='Auto Responses'!$J$11,20,IF($I321='Auto Responses'!$J$13,5,10))</f>
        <v>20</v>
      </c>
      <c r="L321" s="284">
        <f>IF($E321='Auto Responses'!$L$13, 'Auto Responses'!$J$5,IF(AND($D321='Auto Responses'!$J$27,$H321=""),'Auto Responses'!$J$5,IF(AND($D321='Auto Responses'!$J$27,$H321='Auto Responses'!$J$7),1,IF(AND($D321='Auto Responses'!$J$27,$H321='Auto Responses'!$J$8),0,IF(OR(AND($F321=$G321,$H321=""),$H321='Auto Responses'!$J$7),1,0)))))</f>
        <v>0</v>
      </c>
      <c r="M321" s="315" t="str">
        <f>VLOOKUP($A321,'Institution Evaluation'!$A$56:$K$345,11,0)&amp;""</f>
        <v>FALSCH</v>
      </c>
      <c r="N321" s="315">
        <f>IF($J321='Auto Responses'!$J$11,1,IF(AND($J321="",$I321='Auto Responses'!$J$11),1,0))</f>
        <v>1</v>
      </c>
      <c r="O321" s="284" t="str">
        <f>IF(OR($F$20='Auto Responses'!$J$4,$F$303='Auto Responses'!$J$4,$E321='Auto Responses'!$L$13,$F321='Auto Responses'!$J$5),'Auto Responses'!$J$5,IF($J321="",$K321,IF($J321='Auto Responses'!$J$13,5,IF($J321='Auto Responses'!$J$12,10,IF($J321='Auto Responses'!$J$11,20,0)))))</f>
        <v>N/A</v>
      </c>
      <c r="P321" s="284" t="str">
        <f>IF(OR($O321='Auto Responses'!$J$5,$L321='Auto Responses'!$J$5),'Auto Responses'!$J$5,$O321*$L321)</f>
        <v>N/A</v>
      </c>
      <c r="Q321" s="284">
        <f t="shared" si="29"/>
        <v>0</v>
      </c>
      <c r="R321" s="284">
        <f t="shared" si="33"/>
        <v>0</v>
      </c>
      <c r="S321" s="284">
        <f t="shared" si="30"/>
        <v>0</v>
      </c>
      <c r="T321" s="284">
        <f t="shared" si="31"/>
        <v>1</v>
      </c>
      <c r="U321" s="284">
        <f t="shared" si="34"/>
        <v>83</v>
      </c>
      <c r="V321" s="284">
        <f t="shared" si="32"/>
        <v>83</v>
      </c>
    </row>
    <row r="322" spans="1:23" ht="55.5" customHeight="1" x14ac:dyDescent="0.2">
      <c r="A322" s="315" t="str">
        <f>Questions!$A322</f>
        <v>AIML-03</v>
      </c>
      <c r="B322" s="315" t="str">
        <f t="shared" si="28"/>
        <v>AIML</v>
      </c>
      <c r="C322" s="315" t="str">
        <f>VLOOKUP($A322,Questions!$A$3:$L$333,2,0)&amp;""</f>
        <v>Is your ML training data vetted, validated, and verified before training the solution's AI model?</v>
      </c>
      <c r="D322" s="315" t="str">
        <f>VLOOKUP($A322,Questions!$A$3:$L$333,11,0)&amp;""</f>
        <v/>
      </c>
      <c r="E322" s="315" t="str">
        <f>VLOOKUP($A322,Questions!$A$3:$L$333,12,0)&amp;""</f>
        <v>AI</v>
      </c>
      <c r="F322" s="315" t="str">
        <f>VLOOKUP($A322,'Institution Evaluation'!$A$56:$K$345,3,0)&amp;""</f>
        <v>N/A</v>
      </c>
      <c r="G322" s="315" t="str">
        <f>VLOOKUP($A322,'Institution Evaluation'!$A$56:$K$345,7,0)&amp;""</f>
        <v>Yes</v>
      </c>
      <c r="H322" s="315" t="str">
        <f>VLOOKUP($A322,'Institution Evaluation'!$A$56:$K$345,8,0)&amp;""</f>
        <v/>
      </c>
      <c r="I322" s="315" t="str">
        <f>VLOOKUP($A322,'Institution Evaluation'!$A$56:$K$345,9,0)&amp;""</f>
        <v>Standard Importance</v>
      </c>
      <c r="J322" s="315" t="str">
        <f>VLOOKUP($A322,'Institution Evaluation'!$A$56:$K$345,10,0)&amp;""</f>
        <v/>
      </c>
      <c r="K322" s="315">
        <f>IF($I322='Auto Responses'!$J$11,20,IF($I322='Auto Responses'!$J$13,5,10))</f>
        <v>10</v>
      </c>
      <c r="L322" s="284">
        <f>IF($E322='Auto Responses'!$L$13, 'Auto Responses'!$J$5,IF(AND($D322='Auto Responses'!$J$27,$H322=""),'Auto Responses'!$J$5,IF(AND($D322='Auto Responses'!$J$27,$H322='Auto Responses'!$J$7),1,IF(AND($D322='Auto Responses'!$J$27,$H322='Auto Responses'!$J$8),0,IF(OR(AND($F322=$G322,$H322=""),$H322='Auto Responses'!$J$7),1,0)))))</f>
        <v>0</v>
      </c>
      <c r="M322" s="315" t="str">
        <f>VLOOKUP($A322,'Institution Evaluation'!$A$56:$K$345,11,0)&amp;""</f>
        <v>FALSCH</v>
      </c>
      <c r="N322" s="315">
        <f>IF($J322='Auto Responses'!$J$11,1,IF(AND($J322="",$I322='Auto Responses'!$J$11),1,0))</f>
        <v>0</v>
      </c>
      <c r="O322" s="284" t="str">
        <f>IF(OR($F$20='Auto Responses'!$J$4,$F$303='Auto Responses'!$J$4,$E322='Auto Responses'!$L$13,$F322='Auto Responses'!$J$5),'Auto Responses'!$J$5,IF($J322="",$K322,IF($J322='Auto Responses'!$J$13,5,IF($J322='Auto Responses'!$J$12,10,IF($J322='Auto Responses'!$J$11,20,0)))))</f>
        <v>N/A</v>
      </c>
      <c r="P322" s="284" t="str">
        <f>IF(OR($O322='Auto Responses'!$J$5,$L322='Auto Responses'!$J$5),'Auto Responses'!$J$5,$O322*$L322)</f>
        <v>N/A</v>
      </c>
      <c r="Q322" s="284">
        <f t="shared" si="29"/>
        <v>0</v>
      </c>
      <c r="R322" s="284">
        <f t="shared" si="33"/>
        <v>0</v>
      </c>
      <c r="S322" s="284">
        <f t="shared" si="30"/>
        <v>0</v>
      </c>
      <c r="T322" s="284">
        <f t="shared" si="31"/>
        <v>0</v>
      </c>
      <c r="U322" s="284">
        <f t="shared" si="34"/>
        <v>83</v>
      </c>
      <c r="V322" s="284">
        <f t="shared" si="32"/>
        <v>0</v>
      </c>
    </row>
    <row r="323" spans="1:23" ht="55.5" customHeight="1" x14ac:dyDescent="0.2">
      <c r="A323" s="315" t="str">
        <f>Questions!$A323</f>
        <v>AIML-04</v>
      </c>
      <c r="B323" s="315" t="str">
        <f t="shared" ref="B323:B333" si="35">LEFT(A323,4)</f>
        <v>AIML</v>
      </c>
      <c r="C323" s="315" t="str">
        <f>VLOOKUP($A323,Questions!$A$3:$L$333,2,0)&amp;""</f>
        <v>Is your ML training data monitored and audited?</v>
      </c>
      <c r="D323" s="315" t="str">
        <f>VLOOKUP($A323,Questions!$A$3:$L$333,11,0)&amp;""</f>
        <v/>
      </c>
      <c r="E323" s="315" t="str">
        <f>VLOOKUP($A323,Questions!$A$3:$L$333,12,0)&amp;""</f>
        <v>AI</v>
      </c>
      <c r="F323" s="315" t="str">
        <f>VLOOKUP($A323,'Institution Evaluation'!$A$56:$K$345,3,0)&amp;""</f>
        <v>N/A</v>
      </c>
      <c r="G323" s="315" t="str">
        <f>VLOOKUP($A323,'Institution Evaluation'!$A$56:$K$345,7,0)&amp;""</f>
        <v>Yes</v>
      </c>
      <c r="H323" s="315" t="str">
        <f>VLOOKUP($A323,'Institution Evaluation'!$A$56:$K$345,8,0)&amp;""</f>
        <v/>
      </c>
      <c r="I323" s="315" t="str">
        <f>VLOOKUP($A323,'Institution Evaluation'!$A$56:$K$345,9,0)&amp;""</f>
        <v>Standard Importance</v>
      </c>
      <c r="J323" s="315" t="str">
        <f>VLOOKUP($A323,'Institution Evaluation'!$A$56:$K$345,10,0)&amp;""</f>
        <v/>
      </c>
      <c r="K323" s="315">
        <f>IF($I323='Auto Responses'!$J$11,20,IF($I323='Auto Responses'!$J$13,5,10))</f>
        <v>10</v>
      </c>
      <c r="L323" s="284">
        <f>IF($E323='Auto Responses'!$L$13, 'Auto Responses'!$J$5,IF(AND($D323='Auto Responses'!$J$27,$H323=""),'Auto Responses'!$J$5,IF(AND($D323='Auto Responses'!$J$27,$H323='Auto Responses'!$J$7),1,IF(AND($D323='Auto Responses'!$J$27,$H323='Auto Responses'!$J$8),0,IF(OR(AND($F323=$G323,$H323=""),$H323='Auto Responses'!$J$7),1,0)))))</f>
        <v>0</v>
      </c>
      <c r="M323" s="315" t="str">
        <f>VLOOKUP($A323,'Institution Evaluation'!$A$56:$K$345,11,0)&amp;""</f>
        <v>FALSCH</v>
      </c>
      <c r="N323" s="315">
        <f>IF($J323='Auto Responses'!$J$11,1,IF(AND($J323="",$I323='Auto Responses'!$J$11),1,0))</f>
        <v>0</v>
      </c>
      <c r="O323" s="284" t="str">
        <f>IF(OR($F$20='Auto Responses'!$J$4,$F$303='Auto Responses'!$J$4,$E323='Auto Responses'!$L$13,$F323='Auto Responses'!$J$5),'Auto Responses'!$J$5,IF($J323="",$K323,IF($J323='Auto Responses'!$J$13,5,IF($J323='Auto Responses'!$J$12,10,IF($J323='Auto Responses'!$J$11,20,0)))))</f>
        <v>N/A</v>
      </c>
      <c r="P323" s="284" t="str">
        <f>IF(OR($O323='Auto Responses'!$J$5,$L323='Auto Responses'!$J$5),'Auto Responses'!$J$5,$O323*$L323)</f>
        <v>N/A</v>
      </c>
      <c r="Q323" s="284">
        <f t="shared" ref="Q323:Q333" si="36">IF(M323="TRUE",1,0)</f>
        <v>0</v>
      </c>
      <c r="R323" s="284">
        <f t="shared" si="33"/>
        <v>0</v>
      </c>
      <c r="S323" s="284">
        <f t="shared" ref="S323:S333" si="37">IF(Q323=0,0,R323)</f>
        <v>0</v>
      </c>
      <c r="T323" s="284">
        <f t="shared" ref="T323:T333" si="38">IF(N323=1,1,0)</f>
        <v>0</v>
      </c>
      <c r="U323" s="284">
        <f t="shared" si="34"/>
        <v>83</v>
      </c>
      <c r="V323" s="284">
        <f t="shared" ref="V323:V333" si="39">IF(T323=0,0,U323)</f>
        <v>0</v>
      </c>
    </row>
    <row r="324" spans="1:23" ht="55.5" customHeight="1" x14ac:dyDescent="0.2">
      <c r="A324" s="315" t="str">
        <f>Questions!$A324</f>
        <v>AIML-05</v>
      </c>
      <c r="B324" s="315" t="str">
        <f t="shared" si="35"/>
        <v>AIML</v>
      </c>
      <c r="C324" s="315" t="str">
        <f>VLOOKUP($A324,Questions!$A$3:$L$333,2,0)&amp;""</f>
        <v>Have you limited access to your ML training data to only staff with an explicit business need?</v>
      </c>
      <c r="D324" s="315" t="str">
        <f>VLOOKUP($A324,Questions!$A$3:$L$333,11,0)&amp;""</f>
        <v/>
      </c>
      <c r="E324" s="315" t="str">
        <f>VLOOKUP($A324,Questions!$A$3:$L$333,12,0)&amp;""</f>
        <v>AI</v>
      </c>
      <c r="F324" s="315" t="str">
        <f>VLOOKUP($A324,'Institution Evaluation'!$A$56:$K$345,3,0)&amp;""</f>
        <v>N/A</v>
      </c>
      <c r="G324" s="315" t="str">
        <f>VLOOKUP($A324,'Institution Evaluation'!$A$56:$K$345,7,0)&amp;""</f>
        <v>Yes</v>
      </c>
      <c r="H324" s="315" t="str">
        <f>VLOOKUP($A324,'Institution Evaluation'!$A$56:$K$345,8,0)&amp;""</f>
        <v/>
      </c>
      <c r="I324" s="315" t="str">
        <f>VLOOKUP($A324,'Institution Evaluation'!$A$56:$K$345,9,0)&amp;""</f>
        <v>Minor Importance</v>
      </c>
      <c r="J324" s="315" t="str">
        <f>VLOOKUP($A324,'Institution Evaluation'!$A$56:$K$345,10,0)&amp;""</f>
        <v/>
      </c>
      <c r="K324" s="315">
        <f>IF($I324='Auto Responses'!$J$11,20,IF($I324='Auto Responses'!$J$13,5,10))</f>
        <v>5</v>
      </c>
      <c r="L324" s="284">
        <f>IF($E324='Auto Responses'!$L$13, 'Auto Responses'!$J$5,IF(AND($D324='Auto Responses'!$J$27,$H324=""),'Auto Responses'!$J$5,IF(AND($D324='Auto Responses'!$J$27,$H324='Auto Responses'!$J$7),1,IF(AND($D324='Auto Responses'!$J$27,$H324='Auto Responses'!$J$8),0,IF(OR(AND($F324=$G324,$H324=""),$H324='Auto Responses'!$J$7),1,0)))))</f>
        <v>0</v>
      </c>
      <c r="M324" s="315" t="str">
        <f>VLOOKUP($A324,'Institution Evaluation'!$A$56:$K$345,11,0)&amp;""</f>
        <v>FALSCH</v>
      </c>
      <c r="N324" s="315">
        <f>IF($J324='Auto Responses'!$J$11,1,IF(AND($J324="",$I324='Auto Responses'!$J$11),1,0))</f>
        <v>0</v>
      </c>
      <c r="O324" s="284" t="str">
        <f>IF(OR($F$20='Auto Responses'!$J$4,$F$303='Auto Responses'!$J$4,$E324='Auto Responses'!$L$13,$F324='Auto Responses'!$J$5),'Auto Responses'!$J$5,IF($J324="",$K324,IF($J324='Auto Responses'!$J$13,5,IF($J324='Auto Responses'!$J$12,10,IF($J324='Auto Responses'!$J$11,20,0)))))</f>
        <v>N/A</v>
      </c>
      <c r="P324" s="284" t="str">
        <f>IF(OR($O324='Auto Responses'!$J$5,$L324='Auto Responses'!$J$5),'Auto Responses'!$J$5,$O324*$L324)</f>
        <v>N/A</v>
      </c>
      <c r="Q324" s="284">
        <f t="shared" si="36"/>
        <v>0</v>
      </c>
      <c r="R324" s="284">
        <f t="shared" ref="R324:R333" si="40">R323+Q324</f>
        <v>0</v>
      </c>
      <c r="S324" s="284">
        <f t="shared" si="37"/>
        <v>0</v>
      </c>
      <c r="T324" s="284">
        <f t="shared" si="38"/>
        <v>0</v>
      </c>
      <c r="U324" s="284">
        <f t="shared" ref="U324:U333" si="41">U323+T324</f>
        <v>83</v>
      </c>
      <c r="V324" s="284">
        <f t="shared" si="39"/>
        <v>0</v>
      </c>
    </row>
    <row r="325" spans="1:23" ht="55.5" customHeight="1" x14ac:dyDescent="0.2">
      <c r="A325" s="315" t="str">
        <f>Questions!$A325</f>
        <v>AIML-06</v>
      </c>
      <c r="B325" s="315" t="str">
        <f t="shared" si="35"/>
        <v>AIML</v>
      </c>
      <c r="C325" s="315" t="str">
        <f>VLOOKUP($A325,Questions!$A$3:$L$333,2,0)&amp;""</f>
        <v>Have you implemented adversarial training or other model defense mechanisms to protect your ML-related features?</v>
      </c>
      <c r="D325" s="315" t="str">
        <f>VLOOKUP($A325,Questions!$A$3:$L$333,11,0)&amp;""</f>
        <v/>
      </c>
      <c r="E325" s="315" t="str">
        <f>VLOOKUP($A325,Questions!$A$3:$L$333,12,0)&amp;""</f>
        <v>AI</v>
      </c>
      <c r="F325" s="315" t="str">
        <f>VLOOKUP($A325,'Institution Evaluation'!$A$56:$K$345,3,0)&amp;""</f>
        <v>N/A</v>
      </c>
      <c r="G325" s="315" t="str">
        <f>VLOOKUP($A325,'Institution Evaluation'!$A$56:$K$345,7,0)&amp;""</f>
        <v>Yes</v>
      </c>
      <c r="H325" s="315" t="str">
        <f>VLOOKUP($A325,'Institution Evaluation'!$A$56:$K$345,8,0)&amp;""</f>
        <v/>
      </c>
      <c r="I325" s="315" t="str">
        <f>VLOOKUP($A325,'Institution Evaluation'!$A$56:$K$345,9,0)&amp;""</f>
        <v>Minor Importance</v>
      </c>
      <c r="J325" s="315" t="str">
        <f>VLOOKUP($A325,'Institution Evaluation'!$A$56:$K$345,10,0)&amp;""</f>
        <v/>
      </c>
      <c r="K325" s="315">
        <f>IF($I325='Auto Responses'!$J$11,20,IF($I325='Auto Responses'!$J$13,5,10))</f>
        <v>5</v>
      </c>
      <c r="L325" s="284">
        <f>IF($E325='Auto Responses'!$L$13, 'Auto Responses'!$J$5,IF(AND($D325='Auto Responses'!$J$27,$H325=""),'Auto Responses'!$J$5,IF(AND($D325='Auto Responses'!$J$27,$H325='Auto Responses'!$J$7),1,IF(AND($D325='Auto Responses'!$J$27,$H325='Auto Responses'!$J$8),0,IF(OR(AND($F325=$G325,$H325=""),$H325='Auto Responses'!$J$7),1,0)))))</f>
        <v>0</v>
      </c>
      <c r="M325" s="315" t="str">
        <f>VLOOKUP($A325,'Institution Evaluation'!$A$56:$K$345,11,0)&amp;""</f>
        <v>FALSCH</v>
      </c>
      <c r="N325" s="315">
        <f>IF($J325='Auto Responses'!$J$11,1,IF(AND($J325="",$I325='Auto Responses'!$J$11),1,0))</f>
        <v>0</v>
      </c>
      <c r="O325" s="284" t="str">
        <f>IF(OR($F$20='Auto Responses'!$J$4,$F$303='Auto Responses'!$J$4,$E325='Auto Responses'!$L$13,$F325='Auto Responses'!$J$5),'Auto Responses'!$J$5,IF($J325="",$K325,IF($J325='Auto Responses'!$J$13,5,IF($J325='Auto Responses'!$J$12,10,IF($J325='Auto Responses'!$J$11,20,0)))))</f>
        <v>N/A</v>
      </c>
      <c r="P325" s="284" t="str">
        <f>IF(OR($O325='Auto Responses'!$J$5,$L325='Auto Responses'!$J$5),'Auto Responses'!$J$5,$O325*$L325)</f>
        <v>N/A</v>
      </c>
      <c r="Q325" s="284">
        <f t="shared" si="36"/>
        <v>0</v>
      </c>
      <c r="R325" s="284">
        <f t="shared" si="40"/>
        <v>0</v>
      </c>
      <c r="S325" s="284">
        <f t="shared" si="37"/>
        <v>0</v>
      </c>
      <c r="T325" s="284">
        <f t="shared" si="38"/>
        <v>0</v>
      </c>
      <c r="U325" s="284">
        <f t="shared" si="41"/>
        <v>83</v>
      </c>
      <c r="V325" s="284">
        <f t="shared" si="39"/>
        <v>0</v>
      </c>
    </row>
    <row r="326" spans="1:23" ht="55.5" customHeight="1" x14ac:dyDescent="0.2">
      <c r="A326" s="315" t="str">
        <f>Questions!$A326</f>
        <v>AIML-07</v>
      </c>
      <c r="B326" s="315" t="str">
        <f t="shared" si="35"/>
        <v>AIML</v>
      </c>
      <c r="C326" s="315" t="str">
        <f>VLOOKUP($A326,Questions!$A$3:$L$333,2,0)&amp;""</f>
        <v>Do you make your ML model transparent through documentation and log inputs and outputs?</v>
      </c>
      <c r="D326" s="315" t="str">
        <f>VLOOKUP($A326,Questions!$A$3:$L$333,11,0)&amp;""</f>
        <v/>
      </c>
      <c r="E326" s="315" t="str">
        <f>VLOOKUP($A326,Questions!$A$3:$L$333,12,0)&amp;""</f>
        <v>AI</v>
      </c>
      <c r="F326" s="315" t="str">
        <f>VLOOKUP($A326,'Institution Evaluation'!$A$56:$K$345,3,0)&amp;""</f>
        <v>N/A</v>
      </c>
      <c r="G326" s="315" t="str">
        <f>VLOOKUP($A326,'Institution Evaluation'!$A$56:$K$345,7,0)&amp;""</f>
        <v>Yes</v>
      </c>
      <c r="H326" s="315" t="str">
        <f>VLOOKUP($A326,'Institution Evaluation'!$A$56:$K$345,8,0)&amp;""</f>
        <v/>
      </c>
      <c r="I326" s="315" t="str">
        <f>VLOOKUP($A326,'Institution Evaluation'!$A$56:$K$345,9,0)&amp;""</f>
        <v>Minor Importance</v>
      </c>
      <c r="J326" s="315" t="str">
        <f>VLOOKUP($A326,'Institution Evaluation'!$A$56:$K$345,10,0)&amp;""</f>
        <v/>
      </c>
      <c r="K326" s="315">
        <f>IF($I326='Auto Responses'!$J$11,20,IF($I326='Auto Responses'!$J$13,5,10))</f>
        <v>5</v>
      </c>
      <c r="L326" s="284">
        <f>IF($E326='Auto Responses'!$L$13, 'Auto Responses'!$J$5,IF(AND($D326='Auto Responses'!$J$27,$H326=""),'Auto Responses'!$J$5,IF(AND($D326='Auto Responses'!$J$27,$H326='Auto Responses'!$J$7),1,IF(AND($D326='Auto Responses'!$J$27,$H326='Auto Responses'!$J$8),0,IF(OR(AND($F326=$G326,$H326=""),$H326='Auto Responses'!$J$7),1,0)))))</f>
        <v>0</v>
      </c>
      <c r="M326" s="315" t="str">
        <f>VLOOKUP($A326,'Institution Evaluation'!$A$56:$K$345,11,0)&amp;""</f>
        <v>FALSCH</v>
      </c>
      <c r="N326" s="315">
        <f>IF($J326='Auto Responses'!$J$11,1,IF(AND($J326="",$I326='Auto Responses'!$J$11),1,0))</f>
        <v>0</v>
      </c>
      <c r="O326" s="284" t="str">
        <f>IF(OR($F$20='Auto Responses'!$J$4,$F$303='Auto Responses'!$J$4,$E326='Auto Responses'!$L$13,$F326='Auto Responses'!$J$5),'Auto Responses'!$J$5,IF($J326="",$K326,IF($J326='Auto Responses'!$J$13,5,IF($J326='Auto Responses'!$J$12,10,IF($J326='Auto Responses'!$J$11,20,0)))))</f>
        <v>N/A</v>
      </c>
      <c r="P326" s="284" t="str">
        <f>IF(OR($O326='Auto Responses'!$J$5,$L326='Auto Responses'!$J$5),'Auto Responses'!$J$5,$O326*$L326)</f>
        <v>N/A</v>
      </c>
      <c r="Q326" s="284">
        <f t="shared" si="36"/>
        <v>0</v>
      </c>
      <c r="R326" s="284">
        <f t="shared" si="40"/>
        <v>0</v>
      </c>
      <c r="S326" s="284">
        <f t="shared" si="37"/>
        <v>0</v>
      </c>
      <c r="T326" s="284">
        <f t="shared" si="38"/>
        <v>0</v>
      </c>
      <c r="U326" s="284">
        <f t="shared" si="41"/>
        <v>83</v>
      </c>
      <c r="V326" s="284">
        <f t="shared" si="39"/>
        <v>0</v>
      </c>
    </row>
    <row r="327" spans="1:23" ht="55.5" customHeight="1" x14ac:dyDescent="0.2">
      <c r="A327" s="315" t="str">
        <f>Questions!$A327</f>
        <v>AIML-08</v>
      </c>
      <c r="B327" s="315" t="str">
        <f t="shared" si="35"/>
        <v>AIML</v>
      </c>
      <c r="C327" s="315" t="str">
        <f>VLOOKUP($A327,Questions!$A$3:$L$333,2,0)&amp;""</f>
        <v>Do you watermark your ML training data?</v>
      </c>
      <c r="D327" s="315" t="str">
        <f>VLOOKUP($A327,Questions!$A$3:$L$333,11,0)&amp;""</f>
        <v/>
      </c>
      <c r="E327" s="315" t="str">
        <f>VLOOKUP($A327,Questions!$A$3:$L$333,12,0)&amp;""</f>
        <v>AI</v>
      </c>
      <c r="F327" s="315" t="str">
        <f>VLOOKUP($A327,'Institution Evaluation'!$A$56:$K$345,3,0)&amp;""</f>
        <v>N/A</v>
      </c>
      <c r="G327" s="315" t="str">
        <f>VLOOKUP($A327,'Institution Evaluation'!$A$56:$K$345,7,0)&amp;""</f>
        <v>Yes</v>
      </c>
      <c r="H327" s="315" t="str">
        <f>VLOOKUP($A327,'Institution Evaluation'!$A$56:$K$345,8,0)&amp;""</f>
        <v/>
      </c>
      <c r="I327" s="315" t="str">
        <f>VLOOKUP($A327,'Institution Evaluation'!$A$56:$K$345,9,0)&amp;""</f>
        <v>Minor Importance</v>
      </c>
      <c r="J327" s="315" t="str">
        <f>VLOOKUP($A327,'Institution Evaluation'!$A$56:$K$345,10,0)&amp;""</f>
        <v/>
      </c>
      <c r="K327" s="315">
        <f>IF($I327='Auto Responses'!$J$11,20,IF($I327='Auto Responses'!$J$13,5,10))</f>
        <v>5</v>
      </c>
      <c r="L327" s="284">
        <f>IF($E327='Auto Responses'!$L$13, 'Auto Responses'!$J$5,IF(AND($D327='Auto Responses'!$J$27,$H327=""),'Auto Responses'!$J$5,IF(AND($D327='Auto Responses'!$J$27,$H327='Auto Responses'!$J$7),1,IF(AND($D327='Auto Responses'!$J$27,$H327='Auto Responses'!$J$8),0,IF(OR(AND($F327=$G327,$H327=""),$H327='Auto Responses'!$J$7),1,0)))))</f>
        <v>0</v>
      </c>
      <c r="M327" s="315" t="str">
        <f>VLOOKUP($A327,'Institution Evaluation'!$A$56:$K$345,11,0)&amp;""</f>
        <v>FALSCH</v>
      </c>
      <c r="N327" s="315">
        <f>IF($J327='Auto Responses'!$J$11,1,IF(AND($J327="",$I327='Auto Responses'!$J$11),1,0))</f>
        <v>0</v>
      </c>
      <c r="O327" s="284" t="str">
        <f>IF(OR($F$20='Auto Responses'!$J$4,$F$303='Auto Responses'!$J$4,$E327='Auto Responses'!$L$13,$F327='Auto Responses'!$J$5),'Auto Responses'!$J$5,IF($J327="",$K327,IF($J327='Auto Responses'!$J$13,5,IF($J327='Auto Responses'!$J$12,10,IF($J327='Auto Responses'!$J$11,20,0)))))</f>
        <v>N/A</v>
      </c>
      <c r="P327" s="284" t="str">
        <f>IF(OR($O327='Auto Responses'!$J$5,$L327='Auto Responses'!$J$5),'Auto Responses'!$J$5,$O327*$L327)</f>
        <v>N/A</v>
      </c>
      <c r="Q327" s="284">
        <f t="shared" si="36"/>
        <v>0</v>
      </c>
      <c r="R327" s="284">
        <f t="shared" si="40"/>
        <v>0</v>
      </c>
      <c r="S327" s="284">
        <f t="shared" si="37"/>
        <v>0</v>
      </c>
      <c r="T327" s="284">
        <f t="shared" si="38"/>
        <v>0</v>
      </c>
      <c r="U327" s="284">
        <f t="shared" si="41"/>
        <v>83</v>
      </c>
      <c r="V327" s="284">
        <f t="shared" si="39"/>
        <v>0</v>
      </c>
    </row>
    <row r="328" spans="1:23" ht="55.5" customHeight="1" x14ac:dyDescent="0.2">
      <c r="A328" s="315" t="str">
        <f>Questions!$A328</f>
        <v>AILM-01</v>
      </c>
      <c r="B328" s="315" t="str">
        <f t="shared" si="35"/>
        <v>AILM</v>
      </c>
      <c r="C328" s="315" t="str">
        <f>VLOOKUP($A328,Questions!$A$3:$L$333,2,0)&amp;""</f>
        <v>Do you limit your solution's LLM privileges by default?*</v>
      </c>
      <c r="D328" s="315" t="str">
        <f>VLOOKUP($A328,Questions!$A$3:$L$333,11,0)&amp;""</f>
        <v/>
      </c>
      <c r="E328" s="315" t="str">
        <f>VLOOKUP($A328,Questions!$A$3:$L$333,12,0)&amp;""</f>
        <v>AI</v>
      </c>
      <c r="F328" s="315" t="str">
        <f>VLOOKUP($A328,'Institution Evaluation'!$A$56:$K$345,3,0)&amp;""</f>
        <v>N/A</v>
      </c>
      <c r="G328" s="315" t="str">
        <f>VLOOKUP($A328,'Institution Evaluation'!$A$56:$K$345,7,0)&amp;""</f>
        <v>Yes</v>
      </c>
      <c r="H328" s="315" t="str">
        <f>VLOOKUP($A328,'Institution Evaluation'!$A$56:$K$345,8,0)&amp;""</f>
        <v/>
      </c>
      <c r="I328" s="315" t="str">
        <f>VLOOKUP($A328,'Institution Evaluation'!$A$56:$K$345,9,0)&amp;""</f>
        <v>Critical Importance</v>
      </c>
      <c r="J328" s="315" t="str">
        <f>VLOOKUP($A328,'Institution Evaluation'!$A$56:$K$345,10,0)&amp;""</f>
        <v/>
      </c>
      <c r="K328" s="315">
        <f>IF($I328='Auto Responses'!$J$11,20,IF($I328='Auto Responses'!$J$13,5,10))</f>
        <v>20</v>
      </c>
      <c r="L328" s="284">
        <f>IF($E328='Auto Responses'!$L$13, 'Auto Responses'!$J$5,IF(AND($D328='Auto Responses'!$J$27,$H328=""),'Auto Responses'!$J$5,IF(AND($D328='Auto Responses'!$J$27,$H328='Auto Responses'!$J$7),1,IF(AND($D328='Auto Responses'!$J$27,$H328='Auto Responses'!$J$8),0,IF(OR(AND($F328=$G328,$H328=""),$H328='Auto Responses'!$J$7),1,0)))))</f>
        <v>0</v>
      </c>
      <c r="M328" s="315" t="str">
        <f>VLOOKUP($A328,'Institution Evaluation'!$A$56:$K$345,11,0)&amp;""</f>
        <v>FALSCH</v>
      </c>
      <c r="N328" s="315">
        <f>IF($J328='Auto Responses'!$J$11,1,IF(AND($J328="",$I328='Auto Responses'!$J$11),1,0))</f>
        <v>1</v>
      </c>
      <c r="O328" s="284" t="str">
        <f>IF(OR($F$20='Auto Responses'!$J$4,$F$304='Auto Responses'!$J$4,$E328='Auto Responses'!$L$13,$F328='Auto Responses'!$J$5),'Auto Responses'!$J$5,IF($J328="",$K328,IF($J328='Auto Responses'!$J$13,5,IF($J328='Auto Responses'!$J$12,10,IF($J328='Auto Responses'!$J$11,20,0)))))</f>
        <v>N/A</v>
      </c>
      <c r="P328" s="284" t="str">
        <f>IF(OR($O328='Auto Responses'!$J$5,$L328='Auto Responses'!$J$5),'Auto Responses'!$J$5,$O328*$L328)</f>
        <v>N/A</v>
      </c>
      <c r="Q328" s="284">
        <f t="shared" si="36"/>
        <v>0</v>
      </c>
      <c r="R328" s="284">
        <f t="shared" si="40"/>
        <v>0</v>
      </c>
      <c r="S328" s="284">
        <f t="shared" si="37"/>
        <v>0</v>
      </c>
      <c r="T328" s="284">
        <f t="shared" si="38"/>
        <v>1</v>
      </c>
      <c r="U328" s="284">
        <f t="shared" si="41"/>
        <v>84</v>
      </c>
      <c r="V328" s="284">
        <f t="shared" si="39"/>
        <v>84</v>
      </c>
    </row>
    <row r="329" spans="1:23" ht="55.5" customHeight="1" x14ac:dyDescent="0.2">
      <c r="A329" s="315" t="str">
        <f>Questions!$A329</f>
        <v>AILM-02</v>
      </c>
      <c r="B329" s="315" t="str">
        <f t="shared" si="35"/>
        <v>AILM</v>
      </c>
      <c r="C329" s="315" t="str">
        <f>VLOOKUP($A329,Questions!$A$3:$L$333,2,0)&amp;""</f>
        <v>Is your LLM training data vetted, validated, and verified before training the solution's AI model?*</v>
      </c>
      <c r="D329" s="315" t="str">
        <f>VLOOKUP($A329,Questions!$A$3:$L$333,11,0)&amp;""</f>
        <v/>
      </c>
      <c r="E329" s="315" t="str">
        <f>VLOOKUP($A329,Questions!$A$3:$L$333,12,0)&amp;""</f>
        <v>AI</v>
      </c>
      <c r="F329" s="315" t="str">
        <f>VLOOKUP($A329,'Institution Evaluation'!$A$56:$K$345,3,0)&amp;""</f>
        <v>N/A</v>
      </c>
      <c r="G329" s="315" t="str">
        <f>VLOOKUP($A329,'Institution Evaluation'!$A$56:$K$345,7,0)&amp;""</f>
        <v>Yes</v>
      </c>
      <c r="H329" s="315" t="str">
        <f>VLOOKUP($A329,'Institution Evaluation'!$A$56:$K$345,8,0)&amp;""</f>
        <v/>
      </c>
      <c r="I329" s="315" t="str">
        <f>VLOOKUP($A329,'Institution Evaluation'!$A$56:$K$345,9,0)&amp;""</f>
        <v>Critical Importance</v>
      </c>
      <c r="J329" s="315" t="str">
        <f>VLOOKUP($A329,'Institution Evaluation'!$A$56:$K$345,10,0)&amp;""</f>
        <v/>
      </c>
      <c r="K329" s="315">
        <f>IF($I329='Auto Responses'!$J$11,20,IF($I329='Auto Responses'!$J$13,5,10))</f>
        <v>20</v>
      </c>
      <c r="L329" s="284">
        <f>IF($E329='Auto Responses'!$L$13, 'Auto Responses'!$J$5,IF(AND($D329='Auto Responses'!$J$27,$H329=""),'Auto Responses'!$J$5,IF(AND($D329='Auto Responses'!$J$27,$H329='Auto Responses'!$J$7),1,IF(AND($D329='Auto Responses'!$J$27,$H329='Auto Responses'!$J$8),0,IF(OR(AND($F329=$G329,$H329=""),$H329='Auto Responses'!$J$7),1,0)))))</f>
        <v>0</v>
      </c>
      <c r="M329" s="315" t="str">
        <f>VLOOKUP($A329,'Institution Evaluation'!$A$56:$K$345,11,0)&amp;""</f>
        <v>FALSCH</v>
      </c>
      <c r="N329" s="315">
        <f>IF($J329='Auto Responses'!$J$11,1,IF(AND($J329="",$I329='Auto Responses'!$J$11),1,0))</f>
        <v>1</v>
      </c>
      <c r="O329" s="284" t="str">
        <f>IF(OR($F$20='Auto Responses'!$J$4,$F$304='Auto Responses'!$J$4,$E329='Auto Responses'!$L$13,$F329='Auto Responses'!$J$5),'Auto Responses'!$J$5,IF($J329="",$K329,IF($J329='Auto Responses'!$J$13,5,IF($J329='Auto Responses'!$J$12,10,IF($J329='Auto Responses'!$J$11,20,0)))))</f>
        <v>N/A</v>
      </c>
      <c r="P329" s="284" t="str">
        <f>IF(OR($O329='Auto Responses'!$J$5,$L329='Auto Responses'!$J$5),'Auto Responses'!$J$5,$O329*$L329)</f>
        <v>N/A</v>
      </c>
      <c r="Q329" s="284">
        <f t="shared" si="36"/>
        <v>0</v>
      </c>
      <c r="R329" s="284">
        <f t="shared" si="40"/>
        <v>0</v>
      </c>
      <c r="S329" s="284">
        <f t="shared" si="37"/>
        <v>0</v>
      </c>
      <c r="T329" s="284">
        <f t="shared" si="38"/>
        <v>1</v>
      </c>
      <c r="U329" s="284">
        <f t="shared" si="41"/>
        <v>85</v>
      </c>
      <c r="V329" s="284">
        <f t="shared" si="39"/>
        <v>85</v>
      </c>
    </row>
    <row r="330" spans="1:23" ht="55.5" customHeight="1" x14ac:dyDescent="0.2">
      <c r="A330" s="315" t="str">
        <f>Questions!$A330</f>
        <v>AILM-03</v>
      </c>
      <c r="B330" s="315" t="str">
        <f t="shared" si="35"/>
        <v>AILM</v>
      </c>
      <c r="C330" s="315" t="str">
        <f>VLOOKUP($A330,Questions!$A$3:$L$333,2,0)&amp;""</f>
        <v>Do any actions taken by your solution's LLM features or plugins require human intervention?*</v>
      </c>
      <c r="D330" s="315" t="str">
        <f>VLOOKUP($A330,Questions!$A$3:$L$333,11,0)&amp;""</f>
        <v/>
      </c>
      <c r="E330" s="315" t="str">
        <f>VLOOKUP($A330,Questions!$A$3:$L$333,12,0)&amp;""</f>
        <v>AI</v>
      </c>
      <c r="F330" s="315" t="str">
        <f>VLOOKUP($A330,'Institution Evaluation'!$A$56:$K$345,3,0)&amp;""</f>
        <v>N/A</v>
      </c>
      <c r="G330" s="315" t="str">
        <f>VLOOKUP($A330,'Institution Evaluation'!$A$56:$K$345,7,0)&amp;""</f>
        <v>Yes</v>
      </c>
      <c r="H330" s="315" t="str">
        <f>VLOOKUP($A330,'Institution Evaluation'!$A$56:$K$345,8,0)&amp;""</f>
        <v/>
      </c>
      <c r="I330" s="315" t="str">
        <f>VLOOKUP($A330,'Institution Evaluation'!$A$56:$K$345,9,0)&amp;""</f>
        <v>Critical Importance</v>
      </c>
      <c r="J330" s="315" t="str">
        <f>VLOOKUP($A330,'Institution Evaluation'!$A$56:$K$345,10,0)&amp;""</f>
        <v/>
      </c>
      <c r="K330" s="315">
        <f>IF($I330='Auto Responses'!$J$11,20,IF($I330='Auto Responses'!$J$13,5,10))</f>
        <v>20</v>
      </c>
      <c r="L330" s="284">
        <f>IF($E330='Auto Responses'!$L$13, 'Auto Responses'!$J$5,IF(AND($D330='Auto Responses'!$J$27,$H330=""),'Auto Responses'!$J$5,IF(AND($D330='Auto Responses'!$J$27,$H330='Auto Responses'!$J$7),1,IF(AND($D330='Auto Responses'!$J$27,$H330='Auto Responses'!$J$8),0,IF(OR(AND($F330=$G330,$H330=""),$H330='Auto Responses'!$J$7),1,0)))))</f>
        <v>0</v>
      </c>
      <c r="M330" s="315" t="str">
        <f>VLOOKUP($A330,'Institution Evaluation'!$A$56:$K$345,11,0)&amp;""</f>
        <v>FALSCH</v>
      </c>
      <c r="N330" s="315">
        <f>IF($J330='Auto Responses'!$J$11,1,IF(AND($J330="",$I330='Auto Responses'!$J$11),1,0))</f>
        <v>1</v>
      </c>
      <c r="O330" s="284" t="str">
        <f>IF(OR($F$20='Auto Responses'!$J$4,$F$304='Auto Responses'!$J$4,$E330='Auto Responses'!$L$13,$F330='Auto Responses'!$J$5),'Auto Responses'!$J$5,IF($J330="",$K330,IF($J330='Auto Responses'!$J$13,5,IF($J330='Auto Responses'!$J$12,10,IF($J330='Auto Responses'!$J$11,20,0)))))</f>
        <v>N/A</v>
      </c>
      <c r="P330" s="284" t="str">
        <f>IF(OR($O330='Auto Responses'!$J$5,$L330='Auto Responses'!$J$5),'Auto Responses'!$J$5,$O330*$L330)</f>
        <v>N/A</v>
      </c>
      <c r="Q330" s="284">
        <f t="shared" si="36"/>
        <v>0</v>
      </c>
      <c r="R330" s="284">
        <f t="shared" si="40"/>
        <v>0</v>
      </c>
      <c r="S330" s="284">
        <f t="shared" si="37"/>
        <v>0</v>
      </c>
      <c r="T330" s="284">
        <f t="shared" si="38"/>
        <v>1</v>
      </c>
      <c r="U330" s="284">
        <f t="shared" si="41"/>
        <v>86</v>
      </c>
      <c r="V330" s="284">
        <f t="shared" si="39"/>
        <v>86</v>
      </c>
    </row>
    <row r="331" spans="1:23" ht="55.5" customHeight="1" x14ac:dyDescent="0.2">
      <c r="A331" s="315" t="str">
        <f>Questions!$A331</f>
        <v>AILM-04</v>
      </c>
      <c r="B331" s="315" t="str">
        <f t="shared" si="35"/>
        <v>AILM</v>
      </c>
      <c r="C331" s="315" t="str">
        <f>VLOOKUP($A331,Questions!$A$3:$L$333,2,0)&amp;""</f>
        <v>Do you limit multiple LLM model plugins being called as part of a single input?*</v>
      </c>
      <c r="D331" s="315" t="str">
        <f>VLOOKUP($A331,Questions!$A$3:$L$333,11,0)&amp;""</f>
        <v/>
      </c>
      <c r="E331" s="315" t="str">
        <f>VLOOKUP($A331,Questions!$A$3:$L$333,12,0)&amp;""</f>
        <v>AI</v>
      </c>
      <c r="F331" s="315" t="str">
        <f>VLOOKUP($A331,'Institution Evaluation'!$A$56:$K$345,3,0)&amp;""</f>
        <v>N/A</v>
      </c>
      <c r="G331" s="315" t="str">
        <f>VLOOKUP($A331,'Institution Evaluation'!$A$56:$K$345,7,0)&amp;""</f>
        <v>Yes</v>
      </c>
      <c r="H331" s="315" t="str">
        <f>VLOOKUP($A331,'Institution Evaluation'!$A$56:$K$345,8,0)&amp;""</f>
        <v/>
      </c>
      <c r="I331" s="315" t="str">
        <f>VLOOKUP($A331,'Institution Evaluation'!$A$56:$K$345,9,0)&amp;""</f>
        <v>Critical Importance</v>
      </c>
      <c r="J331" s="315" t="str">
        <f>VLOOKUP($A331,'Institution Evaluation'!$A$56:$K$345,10,0)&amp;""</f>
        <v/>
      </c>
      <c r="K331" s="315">
        <f>IF($I331='Auto Responses'!$J$11,20,IF($I331='Auto Responses'!$J$13,5,10))</f>
        <v>20</v>
      </c>
      <c r="L331" s="284">
        <f>IF($E331='Auto Responses'!$L$13, 'Auto Responses'!$J$5,IF(AND($D331='Auto Responses'!$J$27,$H331=""),'Auto Responses'!$J$5,IF(AND($D331='Auto Responses'!$J$27,$H331='Auto Responses'!$J$7),1,IF(AND($D331='Auto Responses'!$J$27,$H331='Auto Responses'!$J$8),0,IF(OR(AND($F331=$G331,$H331=""),$H331='Auto Responses'!$J$7),1,0)))))</f>
        <v>0</v>
      </c>
      <c r="M331" s="315" t="str">
        <f>VLOOKUP($A331,'Institution Evaluation'!$A$56:$K$345,11,0)&amp;""</f>
        <v>FALSCH</v>
      </c>
      <c r="N331" s="315">
        <f>IF($J331='Auto Responses'!$J$11,1,IF(AND($J331="",$I331='Auto Responses'!$J$11),1,0))</f>
        <v>1</v>
      </c>
      <c r="O331" s="284" t="str">
        <f>IF(OR($F$20='Auto Responses'!$J$4,$F$304='Auto Responses'!$J$4,$E331='Auto Responses'!$L$13,$F331='Auto Responses'!$J$5),'Auto Responses'!$J$5,IF($J331="",$K331,IF($J331='Auto Responses'!$J$13,5,IF($J331='Auto Responses'!$J$12,10,IF($J331='Auto Responses'!$J$11,20,0)))))</f>
        <v>N/A</v>
      </c>
      <c r="P331" s="284" t="str">
        <f>IF(OR($O331='Auto Responses'!$J$5,$L331='Auto Responses'!$J$5),'Auto Responses'!$J$5,$O331*$L331)</f>
        <v>N/A</v>
      </c>
      <c r="Q331" s="284">
        <f t="shared" si="36"/>
        <v>0</v>
      </c>
      <c r="R331" s="284">
        <f t="shared" si="40"/>
        <v>0</v>
      </c>
      <c r="S331" s="284">
        <f t="shared" si="37"/>
        <v>0</v>
      </c>
      <c r="T331" s="284">
        <f t="shared" si="38"/>
        <v>1</v>
      </c>
      <c r="U331" s="284">
        <f t="shared" si="41"/>
        <v>87</v>
      </c>
      <c r="V331" s="284">
        <f t="shared" si="39"/>
        <v>87</v>
      </c>
    </row>
    <row r="332" spans="1:23" ht="55.5" customHeight="1" x14ac:dyDescent="0.2">
      <c r="A332" s="315" t="str">
        <f>Questions!$A332</f>
        <v>AILM-05</v>
      </c>
      <c r="B332" s="315" t="str">
        <f t="shared" si="35"/>
        <v>AILM</v>
      </c>
      <c r="C332" s="315" t="str">
        <f>VLOOKUP($A332,Questions!$A$3:$L$333,2,0)&amp;""</f>
        <v>Do you limit your solution's LLM resource use per request, per step, and per action?</v>
      </c>
      <c r="D332" s="315" t="str">
        <f>VLOOKUP($A332,Questions!$A$3:$L$333,11,0)&amp;""</f>
        <v/>
      </c>
      <c r="E332" s="315" t="str">
        <f>VLOOKUP($A332,Questions!$A$3:$L$333,12,0)&amp;""</f>
        <v>AI</v>
      </c>
      <c r="F332" s="315" t="str">
        <f>VLOOKUP($A332,'Institution Evaluation'!$A$56:$K$345,3,0)&amp;""</f>
        <v>N/A</v>
      </c>
      <c r="G332" s="315" t="str">
        <f>VLOOKUP($A332,'Institution Evaluation'!$A$56:$K$345,7,0)&amp;""</f>
        <v>Yes</v>
      </c>
      <c r="H332" s="315" t="str">
        <f>VLOOKUP($A332,'Institution Evaluation'!$A$56:$K$345,8,0)&amp;""</f>
        <v/>
      </c>
      <c r="I332" s="315" t="str">
        <f>VLOOKUP($A332,'Institution Evaluation'!$A$56:$K$345,9,0)&amp;""</f>
        <v>Standard Importance</v>
      </c>
      <c r="J332" s="315" t="str">
        <f>VLOOKUP($A332,'Institution Evaluation'!$A$56:$K$345,10,0)&amp;""</f>
        <v/>
      </c>
      <c r="K332" s="315">
        <f>IF($I332='Auto Responses'!$J$11,20,IF($I332='Auto Responses'!$J$13,5,10))</f>
        <v>10</v>
      </c>
      <c r="L332" s="284">
        <f>IF($E332='Auto Responses'!$L$13, 'Auto Responses'!$J$5,IF(AND($D332='Auto Responses'!$J$27,$H332=""),'Auto Responses'!$J$5,IF(AND($D332='Auto Responses'!$J$27,$H332='Auto Responses'!$J$7),1,IF(AND($D332='Auto Responses'!$J$27,$H332='Auto Responses'!$J$8),0,IF(OR(AND($F332=$G332,$H332=""),$H332='Auto Responses'!$J$7),1,0)))))</f>
        <v>0</v>
      </c>
      <c r="M332" s="315" t="str">
        <f>VLOOKUP($A332,'Institution Evaluation'!$A$56:$K$345,11,0)&amp;""</f>
        <v>FALSCH</v>
      </c>
      <c r="N332" s="315">
        <f>IF($J332='Auto Responses'!$J$11,1,IF(AND($J332="",$I332='Auto Responses'!$J$11),1,0))</f>
        <v>0</v>
      </c>
      <c r="O332" s="284" t="str">
        <f>IF(OR($F$20='Auto Responses'!$J$4,$F$304='Auto Responses'!$J$4,$E332='Auto Responses'!$L$13,$F332='Auto Responses'!$J$5),'Auto Responses'!$J$5,IF($J332="",$K332,IF($J332='Auto Responses'!$J$13,5,IF($J332='Auto Responses'!$J$12,10,IF($J332='Auto Responses'!$J$11,20,0)))))</f>
        <v>N/A</v>
      </c>
      <c r="P332" s="284" t="str">
        <f>IF(OR($O332='Auto Responses'!$J$5,$L332='Auto Responses'!$J$5),'Auto Responses'!$J$5,$O332*$L332)</f>
        <v>N/A</v>
      </c>
      <c r="Q332" s="284">
        <f t="shared" si="36"/>
        <v>0</v>
      </c>
      <c r="R332" s="284">
        <f t="shared" si="40"/>
        <v>0</v>
      </c>
      <c r="S332" s="284">
        <f t="shared" si="37"/>
        <v>0</v>
      </c>
      <c r="T332" s="284">
        <f t="shared" si="38"/>
        <v>0</v>
      </c>
      <c r="U332" s="284">
        <f t="shared" si="41"/>
        <v>87</v>
      </c>
      <c r="V332" s="284">
        <f t="shared" si="39"/>
        <v>0</v>
      </c>
    </row>
    <row r="333" spans="1:23" ht="36" customHeight="1" x14ac:dyDescent="0.2">
      <c r="A333" s="315" t="str">
        <f>Questions!$A333</f>
        <v>AILM-06</v>
      </c>
      <c r="B333" s="315" t="str">
        <f t="shared" si="35"/>
        <v>AILM</v>
      </c>
      <c r="C333" s="315" t="str">
        <f>VLOOKUP($A333,Questions!$A$3:$L$333,2,0)&amp;""</f>
        <v>Do you leverage LLM model tuning or other model validation mechanisms?</v>
      </c>
      <c r="D333" s="315" t="str">
        <f>VLOOKUP($A333,Questions!$A$3:$L$333,11,0)&amp;""</f>
        <v/>
      </c>
      <c r="E333" s="315" t="str">
        <f>VLOOKUP($A333,Questions!$A$3:$L$333,12,0)&amp;""</f>
        <v>AI</v>
      </c>
      <c r="F333" s="315" t="str">
        <f>VLOOKUP($A333,'Institution Evaluation'!$A$56:$K$345,3,0)&amp;""</f>
        <v>N/A</v>
      </c>
      <c r="G333" s="315" t="str">
        <f>VLOOKUP($A333,'Institution Evaluation'!$A$56:$K$345,7,0)&amp;""</f>
        <v>Yes</v>
      </c>
      <c r="H333" s="315" t="str">
        <f>VLOOKUP($A333,'Institution Evaluation'!$A$56:$K$345,8,0)&amp;""</f>
        <v/>
      </c>
      <c r="I333" s="315" t="str">
        <f>VLOOKUP($A333,'Institution Evaluation'!$A$56:$K$345,9,0)&amp;""</f>
        <v>Standard Importance</v>
      </c>
      <c r="J333" s="315" t="str">
        <f>VLOOKUP($A333,'Institution Evaluation'!$A$56:$K$345,10,0)&amp;""</f>
        <v/>
      </c>
      <c r="K333" s="315">
        <f>IF($I333='Auto Responses'!$J$11,20,IF($I333='Auto Responses'!$J$13,5,10))</f>
        <v>10</v>
      </c>
      <c r="L333" s="284">
        <f>IF($E333='Auto Responses'!$L$13, 'Auto Responses'!$J$5,IF(AND($D333='Auto Responses'!$J$27,$H333=""),'Auto Responses'!$J$5,IF(AND($D333='Auto Responses'!$J$27,$H333='Auto Responses'!$J$7),1,IF(AND($D333='Auto Responses'!$J$27,$H333='Auto Responses'!$J$8),0,IF(OR(AND($F333=$G333,$H333=""),$H333='Auto Responses'!$J$7),1,0)))))</f>
        <v>0</v>
      </c>
      <c r="M333" s="315" t="str">
        <f>VLOOKUP($A333,'Institution Evaluation'!$A$56:$K$345,11,0)&amp;""</f>
        <v>FALSCH</v>
      </c>
      <c r="N333" s="315">
        <f>IF($J333='Auto Responses'!$J$11,1,IF(AND($J333="",$I333='Auto Responses'!$J$11),1,0))</f>
        <v>0</v>
      </c>
      <c r="O333" s="284" t="str">
        <f>IF(OR($F$20='Auto Responses'!$J$4,$F$304='Auto Responses'!$J$4,$E333='Auto Responses'!$L$13,$F333='Auto Responses'!$J$5),'Auto Responses'!$J$5,IF($J333="",$K333,IF($J333='Auto Responses'!$J$13,5,IF($J333='Auto Responses'!$J$12,10,IF($J333='Auto Responses'!$J$11,20,0)))))</f>
        <v>N/A</v>
      </c>
      <c r="P333" s="284" t="str">
        <f>IF(OR($O333='Auto Responses'!$J$5,$L333='Auto Responses'!$J$5),'Auto Responses'!$J$5,$O333*$L333)</f>
        <v>N/A</v>
      </c>
      <c r="Q333" s="284">
        <f t="shared" si="36"/>
        <v>0</v>
      </c>
      <c r="R333" s="284">
        <f t="shared" si="40"/>
        <v>0</v>
      </c>
      <c r="S333" s="284">
        <f t="shared" si="37"/>
        <v>0</v>
      </c>
      <c r="T333" s="284">
        <f t="shared" si="38"/>
        <v>0</v>
      </c>
      <c r="U333" s="284">
        <f t="shared" si="41"/>
        <v>87</v>
      </c>
      <c r="V333" s="284">
        <f t="shared" si="39"/>
        <v>0</v>
      </c>
      <c r="W333" s="90" t="s">
        <v>35</v>
      </c>
    </row>
    <row r="334" spans="1:23" ht="15" customHeight="1" x14ac:dyDescent="0.2">
      <c r="A334" s="316"/>
      <c r="B334" s="316"/>
      <c r="C334" s="316"/>
      <c r="D334" s="316"/>
      <c r="E334" s="316"/>
      <c r="F334" s="316"/>
      <c r="G334" s="316"/>
      <c r="H334" s="316"/>
      <c r="I334" s="316"/>
      <c r="J334" s="316"/>
      <c r="K334" s="316"/>
    </row>
    <row r="335" spans="1:23" ht="15" customHeight="1" x14ac:dyDescent="0.2">
      <c r="A335" s="316"/>
      <c r="B335" s="316"/>
      <c r="C335" s="316"/>
      <c r="D335" s="316"/>
      <c r="E335" s="316"/>
      <c r="F335" s="316"/>
      <c r="G335" s="316"/>
      <c r="H335" s="316"/>
      <c r="I335" s="316"/>
      <c r="J335" s="316"/>
      <c r="K335" s="316"/>
      <c r="Q335" s="317">
        <f>SUM($Q3:$Q334)</f>
        <v>0</v>
      </c>
      <c r="R335" s="318"/>
      <c r="S335" s="318"/>
      <c r="T335" s="319">
        <f>SUM($T3:$T334)</f>
        <v>87</v>
      </c>
    </row>
    <row r="336" spans="1:23" x14ac:dyDescent="0.2">
      <c r="A336" s="90" t="s">
        <v>1981</v>
      </c>
      <c r="B336" s="316"/>
      <c r="C336" s="316"/>
      <c r="D336" s="316"/>
      <c r="E336" s="316"/>
      <c r="F336" s="316"/>
      <c r="G336" s="316"/>
      <c r="H336" s="316"/>
      <c r="I336" s="316"/>
      <c r="J336" s="316"/>
      <c r="K336" s="316"/>
    </row>
    <row r="337" spans="1:11" hidden="1" x14ac:dyDescent="0.2">
      <c r="A337" s="316"/>
      <c r="B337" s="316"/>
      <c r="C337" s="316"/>
      <c r="D337" s="316"/>
      <c r="E337" s="316"/>
      <c r="F337" s="316"/>
      <c r="G337" s="316"/>
      <c r="H337" s="316"/>
      <c r="I337" s="316"/>
      <c r="J337" s="316"/>
      <c r="K337" s="316"/>
    </row>
    <row r="338" spans="1:11" hidden="1" x14ac:dyDescent="0.2">
      <c r="A338" s="316"/>
      <c r="B338" s="316"/>
      <c r="C338" s="316"/>
      <c r="D338" s="316"/>
      <c r="E338" s="316"/>
      <c r="F338" s="316"/>
      <c r="G338" s="316"/>
      <c r="H338" s="316"/>
      <c r="I338" s="316"/>
      <c r="J338" s="316"/>
      <c r="K338" s="316"/>
    </row>
    <row r="339" spans="1:11" hidden="1" x14ac:dyDescent="0.2">
      <c r="A339" s="316"/>
      <c r="B339" s="316"/>
      <c r="C339" s="316"/>
      <c r="D339" s="316"/>
      <c r="E339" s="316"/>
      <c r="F339" s="316"/>
      <c r="G339" s="316"/>
      <c r="H339" s="316"/>
      <c r="I339" s="316"/>
      <c r="J339" s="316"/>
      <c r="K339" s="316"/>
    </row>
    <row r="340" spans="1:11" hidden="1" x14ac:dyDescent="0.2">
      <c r="A340" s="316"/>
      <c r="B340" s="316"/>
      <c r="C340" s="316"/>
      <c r="D340" s="316"/>
      <c r="E340" s="316"/>
      <c r="F340" s="316"/>
      <c r="G340" s="316"/>
      <c r="H340" s="316"/>
      <c r="I340" s="316"/>
      <c r="J340" s="316"/>
      <c r="K340" s="316"/>
    </row>
    <row r="341" spans="1:11" hidden="1" x14ac:dyDescent="0.2">
      <c r="A341" s="316"/>
      <c r="B341" s="316"/>
      <c r="C341" s="316"/>
      <c r="D341" s="316"/>
      <c r="E341" s="316"/>
      <c r="F341" s="316"/>
      <c r="G341" s="316"/>
      <c r="H341" s="316"/>
      <c r="I341" s="316"/>
      <c r="J341" s="316"/>
      <c r="K341" s="316"/>
    </row>
    <row r="342" spans="1:11" hidden="1" x14ac:dyDescent="0.2">
      <c r="A342" s="316"/>
      <c r="B342" s="316"/>
      <c r="C342" s="316"/>
      <c r="D342" s="316"/>
      <c r="E342" s="316"/>
      <c r="F342" s="316"/>
      <c r="G342" s="316"/>
      <c r="H342" s="316"/>
      <c r="I342" s="316"/>
      <c r="J342" s="316"/>
      <c r="K342" s="316"/>
    </row>
    <row r="343" spans="1:11" hidden="1" x14ac:dyDescent="0.2">
      <c r="A343" s="316"/>
      <c r="B343" s="316"/>
      <c r="C343" s="316"/>
      <c r="D343" s="316"/>
      <c r="E343" s="316"/>
      <c r="F343" s="316"/>
      <c r="G343" s="316"/>
      <c r="H343" s="316"/>
      <c r="I343" s="316"/>
      <c r="J343" s="316"/>
      <c r="K343" s="316"/>
    </row>
    <row r="344" spans="1:11" hidden="1" x14ac:dyDescent="0.2">
      <c r="A344" s="316"/>
      <c r="B344" s="316"/>
      <c r="C344" s="316"/>
      <c r="D344" s="316"/>
      <c r="E344" s="316"/>
      <c r="F344" s="316"/>
      <c r="G344" s="316"/>
      <c r="H344" s="316"/>
      <c r="I344" s="316"/>
      <c r="J344" s="316"/>
      <c r="K344" s="316"/>
    </row>
    <row r="345" spans="1:11" hidden="1" x14ac:dyDescent="0.2">
      <c r="A345" s="316"/>
      <c r="B345" s="316"/>
      <c r="C345" s="316"/>
      <c r="D345" s="316"/>
      <c r="E345" s="316"/>
      <c r="F345" s="316"/>
      <c r="G345" s="316"/>
      <c r="H345" s="316"/>
      <c r="I345" s="316"/>
      <c r="J345" s="316"/>
      <c r="K345" s="316"/>
    </row>
    <row r="346" spans="1:11" hidden="1" x14ac:dyDescent="0.2">
      <c r="A346" s="316"/>
      <c r="B346" s="316"/>
      <c r="C346" s="316"/>
      <c r="D346" s="316"/>
      <c r="E346" s="316"/>
      <c r="F346" s="316"/>
      <c r="G346" s="316"/>
      <c r="H346" s="316"/>
      <c r="I346" s="316"/>
      <c r="J346" s="316"/>
      <c r="K346" s="316"/>
    </row>
    <row r="347" spans="1:11" hidden="1" x14ac:dyDescent="0.2">
      <c r="A347" s="316"/>
      <c r="B347" s="316"/>
      <c r="C347" s="316"/>
      <c r="D347" s="316"/>
      <c r="E347" s="316"/>
      <c r="F347" s="316"/>
      <c r="G347" s="316"/>
      <c r="H347" s="316"/>
      <c r="I347" s="316"/>
      <c r="J347" s="316"/>
      <c r="K347" s="316"/>
    </row>
    <row r="348" spans="1:11" hidden="1" x14ac:dyDescent="0.2">
      <c r="A348" s="316"/>
      <c r="B348" s="316"/>
      <c r="C348" s="316"/>
      <c r="D348" s="316"/>
      <c r="E348" s="316"/>
      <c r="F348" s="316"/>
      <c r="G348" s="316"/>
      <c r="H348" s="316"/>
      <c r="I348" s="316"/>
      <c r="J348" s="316"/>
      <c r="K348" s="316"/>
    </row>
    <row r="349" spans="1:11" hidden="1" x14ac:dyDescent="0.2">
      <c r="A349" s="316"/>
      <c r="B349" s="316"/>
      <c r="C349" s="316"/>
      <c r="D349" s="316"/>
      <c r="E349" s="316"/>
      <c r="F349" s="316"/>
      <c r="G349" s="316"/>
      <c r="H349" s="316"/>
      <c r="I349" s="316"/>
      <c r="J349" s="316"/>
      <c r="K349" s="316"/>
    </row>
    <row r="350" spans="1:11" hidden="1" x14ac:dyDescent="0.2">
      <c r="A350" s="316"/>
      <c r="B350" s="316"/>
      <c r="C350" s="316"/>
      <c r="D350" s="316"/>
      <c r="E350" s="316"/>
      <c r="F350" s="316"/>
      <c r="G350" s="316"/>
      <c r="H350" s="316"/>
      <c r="I350" s="316"/>
      <c r="J350" s="316"/>
      <c r="K350" s="316"/>
    </row>
    <row r="351" spans="1:11" hidden="1" x14ac:dyDescent="0.2">
      <c r="A351" s="316"/>
      <c r="B351" s="316"/>
      <c r="C351" s="316"/>
      <c r="D351" s="316"/>
      <c r="E351" s="316"/>
      <c r="F351" s="316"/>
      <c r="G351" s="316"/>
      <c r="H351" s="316"/>
      <c r="I351" s="316"/>
      <c r="J351" s="316"/>
      <c r="K351" s="316"/>
    </row>
    <row r="352" spans="1:11" hidden="1" x14ac:dyDescent="0.2">
      <c r="A352" s="316"/>
      <c r="B352" s="316"/>
      <c r="C352" s="316"/>
      <c r="D352" s="316"/>
      <c r="E352" s="316"/>
      <c r="F352" s="316"/>
      <c r="G352" s="316"/>
      <c r="H352" s="316"/>
      <c r="I352" s="316"/>
      <c r="J352" s="316"/>
      <c r="K352" s="316"/>
    </row>
    <row r="353" spans="1:11" hidden="1" x14ac:dyDescent="0.2">
      <c r="A353" s="316"/>
      <c r="B353" s="316"/>
      <c r="C353" s="316"/>
      <c r="D353" s="316"/>
      <c r="E353" s="316"/>
      <c r="F353" s="316"/>
      <c r="G353" s="316"/>
      <c r="H353" s="316"/>
      <c r="I353" s="316"/>
      <c r="J353" s="316"/>
      <c r="K353" s="316"/>
    </row>
    <row r="354" spans="1:11" hidden="1" x14ac:dyDescent="0.2">
      <c r="A354" s="316"/>
      <c r="B354" s="316"/>
      <c r="C354" s="316"/>
      <c r="D354" s="316"/>
      <c r="E354" s="316"/>
      <c r="F354" s="316"/>
      <c r="G354" s="316"/>
      <c r="H354" s="316"/>
      <c r="I354" s="316"/>
      <c r="J354" s="316"/>
      <c r="K354" s="316"/>
    </row>
    <row r="355" spans="1:11" hidden="1" x14ac:dyDescent="0.2">
      <c r="A355" s="316"/>
      <c r="B355" s="316"/>
      <c r="C355" s="316"/>
      <c r="D355" s="316"/>
      <c r="E355" s="316"/>
      <c r="F355" s="316"/>
      <c r="G355" s="316"/>
      <c r="H355" s="316"/>
      <c r="I355" s="316"/>
      <c r="J355" s="316"/>
      <c r="K355" s="316"/>
    </row>
    <row r="356" spans="1:11" hidden="1" x14ac:dyDescent="0.2">
      <c r="A356" s="316"/>
      <c r="B356" s="316"/>
      <c r="C356" s="316"/>
      <c r="D356" s="316"/>
      <c r="E356" s="316"/>
      <c r="F356" s="316"/>
      <c r="G356" s="316"/>
      <c r="H356" s="316"/>
      <c r="I356" s="316"/>
      <c r="J356" s="316"/>
      <c r="K356" s="316"/>
    </row>
    <row r="357" spans="1:11" hidden="1" x14ac:dyDescent="0.2">
      <c r="A357" s="316"/>
      <c r="B357" s="316"/>
      <c r="C357" s="316"/>
      <c r="D357" s="316"/>
      <c r="E357" s="316"/>
      <c r="F357" s="316"/>
      <c r="G357" s="316"/>
      <c r="H357" s="316"/>
      <c r="I357" s="316"/>
      <c r="J357" s="316"/>
      <c r="K357" s="316"/>
    </row>
    <row r="358" spans="1:11" hidden="1" x14ac:dyDescent="0.2">
      <c r="A358" s="316"/>
      <c r="B358" s="316"/>
      <c r="C358" s="316"/>
      <c r="D358" s="316"/>
      <c r="E358" s="316"/>
      <c r="F358" s="316"/>
      <c r="G358" s="316"/>
      <c r="H358" s="316"/>
      <c r="I358" s="316"/>
      <c r="J358" s="316"/>
      <c r="K358" s="316"/>
    </row>
    <row r="359" spans="1:11" hidden="1" x14ac:dyDescent="0.2">
      <c r="A359" s="316"/>
      <c r="B359" s="316"/>
      <c r="C359" s="316"/>
      <c r="D359" s="316"/>
      <c r="E359" s="316"/>
      <c r="F359" s="316"/>
      <c r="G359" s="316"/>
      <c r="H359" s="316"/>
      <c r="I359" s="316"/>
      <c r="J359" s="316"/>
      <c r="K359" s="316"/>
    </row>
    <row r="360" spans="1:11" hidden="1" x14ac:dyDescent="0.2">
      <c r="A360" s="316"/>
      <c r="B360" s="316"/>
      <c r="C360" s="316"/>
      <c r="D360" s="316"/>
      <c r="E360" s="316"/>
      <c r="F360" s="316"/>
      <c r="G360" s="316"/>
      <c r="H360" s="316"/>
      <c r="I360" s="316"/>
      <c r="J360" s="316"/>
      <c r="K360" s="316"/>
    </row>
    <row r="361" spans="1:11" hidden="1" x14ac:dyDescent="0.2">
      <c r="A361" s="316"/>
      <c r="B361" s="316"/>
      <c r="C361" s="316"/>
      <c r="D361" s="316"/>
      <c r="E361" s="316"/>
      <c r="F361" s="316"/>
      <c r="G361" s="316"/>
      <c r="H361" s="316"/>
      <c r="I361" s="316"/>
      <c r="J361" s="316"/>
      <c r="K361" s="316"/>
    </row>
    <row r="362" spans="1:11" hidden="1" x14ac:dyDescent="0.2">
      <c r="A362" s="316"/>
      <c r="B362" s="316"/>
      <c r="C362" s="316"/>
      <c r="D362" s="316"/>
      <c r="E362" s="316"/>
      <c r="F362" s="316"/>
      <c r="G362" s="316"/>
      <c r="H362" s="316"/>
      <c r="I362" s="316"/>
      <c r="J362" s="316"/>
      <c r="K362" s="316"/>
    </row>
    <row r="363" spans="1:11" hidden="1" x14ac:dyDescent="0.2">
      <c r="A363" s="316"/>
      <c r="B363" s="316"/>
      <c r="C363" s="316"/>
      <c r="D363" s="316"/>
      <c r="E363" s="316"/>
      <c r="F363" s="316"/>
      <c r="G363" s="316"/>
      <c r="H363" s="316"/>
      <c r="I363" s="316"/>
      <c r="J363" s="316"/>
      <c r="K363" s="316"/>
    </row>
    <row r="364" spans="1:11" hidden="1" x14ac:dyDescent="0.2">
      <c r="A364" s="316"/>
      <c r="B364" s="316"/>
      <c r="C364" s="316"/>
      <c r="D364" s="316"/>
      <c r="E364" s="316"/>
      <c r="F364" s="316"/>
      <c r="G364" s="316"/>
      <c r="H364" s="316"/>
      <c r="I364" s="316"/>
      <c r="J364" s="316"/>
      <c r="K364" s="316"/>
    </row>
    <row r="365" spans="1:11" hidden="1" x14ac:dyDescent="0.2">
      <c r="A365" s="316"/>
      <c r="B365" s="316"/>
      <c r="C365" s="316"/>
      <c r="D365" s="316"/>
      <c r="E365" s="316"/>
      <c r="F365" s="316"/>
      <c r="G365" s="316"/>
      <c r="H365" s="316"/>
      <c r="I365" s="316"/>
      <c r="J365" s="316"/>
      <c r="K365" s="316"/>
    </row>
    <row r="366" spans="1:11" hidden="1" x14ac:dyDescent="0.2">
      <c r="A366" s="316"/>
      <c r="B366" s="316"/>
      <c r="C366" s="316"/>
      <c r="D366" s="316"/>
      <c r="E366" s="316"/>
      <c r="F366" s="316"/>
      <c r="G366" s="316"/>
      <c r="H366" s="316"/>
      <c r="I366" s="316"/>
      <c r="J366" s="316"/>
      <c r="K366" s="316"/>
    </row>
    <row r="367" spans="1:11" hidden="1" x14ac:dyDescent="0.2">
      <c r="A367" s="316"/>
      <c r="B367" s="316"/>
      <c r="C367" s="316"/>
      <c r="D367" s="316"/>
      <c r="E367" s="316"/>
      <c r="F367" s="316"/>
      <c r="G367" s="316"/>
      <c r="H367" s="316"/>
      <c r="I367" s="316"/>
      <c r="J367" s="316"/>
      <c r="K367" s="316"/>
    </row>
    <row r="368" spans="1:11" hidden="1" x14ac:dyDescent="0.2">
      <c r="A368" s="316"/>
      <c r="B368" s="316"/>
      <c r="C368" s="316"/>
      <c r="D368" s="316"/>
      <c r="E368" s="316"/>
      <c r="F368" s="316"/>
      <c r="G368" s="316"/>
      <c r="H368" s="316"/>
      <c r="I368" s="316"/>
      <c r="J368" s="316"/>
      <c r="K368" s="316"/>
    </row>
    <row r="369" spans="1:11" hidden="1" x14ac:dyDescent="0.2">
      <c r="A369" s="316"/>
      <c r="B369" s="316"/>
      <c r="C369" s="316"/>
      <c r="D369" s="316"/>
      <c r="E369" s="316"/>
      <c r="F369" s="316"/>
      <c r="G369" s="316"/>
      <c r="H369" s="316"/>
      <c r="I369" s="316"/>
      <c r="J369" s="316"/>
      <c r="K369" s="316"/>
    </row>
    <row r="370" spans="1:11" hidden="1" x14ac:dyDescent="0.2">
      <c r="A370" s="316"/>
      <c r="B370" s="316"/>
      <c r="C370" s="316"/>
      <c r="D370" s="316"/>
      <c r="E370" s="316"/>
      <c r="F370" s="316"/>
      <c r="G370" s="316"/>
      <c r="H370" s="316"/>
      <c r="I370" s="316"/>
      <c r="J370" s="316"/>
      <c r="K370" s="316"/>
    </row>
    <row r="371" spans="1:11" hidden="1" x14ac:dyDescent="0.2">
      <c r="A371" s="316"/>
      <c r="B371" s="316"/>
      <c r="C371" s="316"/>
      <c r="D371" s="316"/>
      <c r="E371" s="316"/>
      <c r="F371" s="316"/>
      <c r="G371" s="316"/>
      <c r="H371" s="316"/>
      <c r="I371" s="316"/>
      <c r="J371" s="316"/>
      <c r="K371" s="316"/>
    </row>
    <row r="372" spans="1:11" hidden="1" x14ac:dyDescent="0.2">
      <c r="A372" s="316"/>
      <c r="B372" s="316"/>
      <c r="C372" s="316"/>
      <c r="D372" s="316"/>
      <c r="E372" s="316"/>
      <c r="F372" s="316"/>
      <c r="G372" s="316"/>
      <c r="H372" s="316"/>
      <c r="I372" s="316"/>
      <c r="J372" s="316"/>
      <c r="K372" s="316"/>
    </row>
    <row r="373" spans="1:11" hidden="1" x14ac:dyDescent="0.2">
      <c r="A373" s="316"/>
      <c r="B373" s="316"/>
      <c r="C373" s="316"/>
      <c r="D373" s="316"/>
      <c r="E373" s="316"/>
      <c r="F373" s="316"/>
      <c r="G373" s="316"/>
      <c r="H373" s="316"/>
      <c r="I373" s="316"/>
      <c r="J373" s="316"/>
      <c r="K373" s="316"/>
    </row>
    <row r="374" spans="1:11" hidden="1" x14ac:dyDescent="0.2">
      <c r="A374" s="316"/>
      <c r="B374" s="316"/>
      <c r="C374" s="316"/>
      <c r="D374" s="316"/>
      <c r="E374" s="316"/>
      <c r="F374" s="316"/>
      <c r="G374" s="316"/>
      <c r="H374" s="316"/>
      <c r="I374" s="316"/>
      <c r="J374" s="316"/>
      <c r="K374" s="316"/>
    </row>
    <row r="375" spans="1:11" hidden="1" x14ac:dyDescent="0.2">
      <c r="A375" s="316"/>
      <c r="B375" s="316"/>
      <c r="C375" s="316"/>
      <c r="D375" s="316"/>
      <c r="E375" s="316"/>
      <c r="F375" s="316"/>
      <c r="G375" s="316"/>
      <c r="H375" s="316"/>
      <c r="I375" s="316"/>
      <c r="J375" s="316"/>
      <c r="K375" s="316"/>
    </row>
    <row r="376" spans="1:11" hidden="1" x14ac:dyDescent="0.2">
      <c r="A376" s="316"/>
      <c r="B376" s="316"/>
      <c r="C376" s="316"/>
      <c r="D376" s="316"/>
      <c r="E376" s="316"/>
      <c r="F376" s="316"/>
      <c r="G376" s="316"/>
      <c r="H376" s="316"/>
      <c r="I376" s="316"/>
      <c r="J376" s="316"/>
      <c r="K376" s="316"/>
    </row>
    <row r="377" spans="1:11" hidden="1" x14ac:dyDescent="0.2">
      <c r="A377" s="316"/>
      <c r="B377" s="316"/>
      <c r="C377" s="316"/>
      <c r="D377" s="316"/>
      <c r="E377" s="316"/>
      <c r="F377" s="316"/>
      <c r="G377" s="316"/>
      <c r="H377" s="316"/>
      <c r="I377" s="316"/>
      <c r="J377" s="316"/>
      <c r="K377" s="316"/>
    </row>
    <row r="378" spans="1:11" hidden="1" x14ac:dyDescent="0.2">
      <c r="A378" s="316"/>
      <c r="B378" s="316"/>
      <c r="C378" s="316"/>
      <c r="D378" s="316"/>
      <c r="E378" s="316"/>
      <c r="F378" s="316"/>
      <c r="G378" s="316"/>
      <c r="H378" s="316"/>
      <c r="I378" s="316"/>
      <c r="J378" s="316"/>
      <c r="K378" s="316"/>
    </row>
    <row r="379" spans="1:11" hidden="1" x14ac:dyDescent="0.2">
      <c r="A379" s="316"/>
      <c r="B379" s="316"/>
      <c r="C379" s="316"/>
      <c r="D379" s="316"/>
      <c r="E379" s="316"/>
      <c r="F379" s="316"/>
      <c r="G379" s="316"/>
      <c r="H379" s="316"/>
      <c r="I379" s="316"/>
      <c r="J379" s="316"/>
      <c r="K379" s="316"/>
    </row>
    <row r="380" spans="1:11" hidden="1" x14ac:dyDescent="0.2">
      <c r="A380" s="316"/>
      <c r="B380" s="316"/>
      <c r="C380" s="316"/>
      <c r="D380" s="316"/>
      <c r="E380" s="316"/>
      <c r="F380" s="316"/>
      <c r="G380" s="316"/>
      <c r="H380" s="316"/>
      <c r="I380" s="316"/>
      <c r="J380" s="316"/>
      <c r="K380" s="316"/>
    </row>
    <row r="381" spans="1:11" hidden="1" x14ac:dyDescent="0.2">
      <c r="A381" s="316"/>
      <c r="B381" s="316"/>
      <c r="C381" s="316"/>
      <c r="D381" s="316"/>
      <c r="E381" s="316"/>
      <c r="F381" s="316"/>
      <c r="G381" s="316"/>
      <c r="H381" s="316"/>
      <c r="I381" s="316"/>
      <c r="J381" s="316"/>
      <c r="K381" s="316"/>
    </row>
    <row r="382" spans="1:11" hidden="1" x14ac:dyDescent="0.2">
      <c r="A382" s="316"/>
      <c r="B382" s="316"/>
      <c r="C382" s="316"/>
      <c r="D382" s="316"/>
      <c r="E382" s="316"/>
      <c r="F382" s="316"/>
      <c r="G382" s="316"/>
      <c r="H382" s="316"/>
      <c r="I382" s="316"/>
      <c r="J382" s="316"/>
      <c r="K382" s="316"/>
    </row>
    <row r="383" spans="1:11" hidden="1" x14ac:dyDescent="0.2">
      <c r="A383" s="316"/>
      <c r="B383" s="316"/>
      <c r="C383" s="316"/>
      <c r="D383" s="316"/>
      <c r="E383" s="316"/>
      <c r="F383" s="316"/>
      <c r="G383" s="316"/>
      <c r="H383" s="316"/>
      <c r="I383" s="316"/>
      <c r="J383" s="316"/>
      <c r="K383" s="316"/>
    </row>
    <row r="384" spans="1:11" hidden="1" x14ac:dyDescent="0.2">
      <c r="A384" s="316"/>
      <c r="B384" s="316"/>
      <c r="C384" s="316"/>
      <c r="D384" s="316"/>
      <c r="E384" s="316"/>
      <c r="F384" s="316"/>
      <c r="G384" s="316"/>
      <c r="H384" s="316"/>
      <c r="I384" s="316"/>
      <c r="J384" s="316"/>
      <c r="K384" s="316"/>
    </row>
    <row r="385" spans="1:11" hidden="1" x14ac:dyDescent="0.2">
      <c r="A385" s="316"/>
      <c r="B385" s="316"/>
      <c r="C385" s="316"/>
      <c r="D385" s="316"/>
      <c r="E385" s="316"/>
      <c r="F385" s="316"/>
      <c r="G385" s="316"/>
      <c r="H385" s="316"/>
      <c r="I385" s="316"/>
      <c r="J385" s="316"/>
      <c r="K385" s="316"/>
    </row>
    <row r="386" spans="1:11" hidden="1" x14ac:dyDescent="0.2">
      <c r="A386" s="316"/>
      <c r="B386" s="316"/>
      <c r="C386" s="316"/>
      <c r="D386" s="316"/>
      <c r="E386" s="316"/>
      <c r="F386" s="316"/>
      <c r="G386" s="316"/>
      <c r="H386" s="316"/>
      <c r="I386" s="316"/>
      <c r="J386" s="316"/>
      <c r="K386" s="316"/>
    </row>
    <row r="387" spans="1:11" hidden="1" x14ac:dyDescent="0.2">
      <c r="A387" s="316"/>
      <c r="B387" s="316"/>
      <c r="C387" s="316"/>
      <c r="D387" s="316"/>
      <c r="E387" s="316"/>
      <c r="F387" s="316"/>
      <c r="G387" s="316"/>
      <c r="H387" s="316"/>
      <c r="I387" s="316"/>
      <c r="J387" s="316"/>
      <c r="K387" s="316"/>
    </row>
    <row r="388" spans="1:11" hidden="1" x14ac:dyDescent="0.2">
      <c r="A388" s="316"/>
      <c r="B388" s="316"/>
      <c r="C388" s="316"/>
      <c r="D388" s="316"/>
      <c r="E388" s="316"/>
      <c r="F388" s="316"/>
      <c r="G388" s="316"/>
      <c r="H388" s="316"/>
      <c r="I388" s="316"/>
      <c r="J388" s="316"/>
      <c r="K388" s="316"/>
    </row>
    <row r="389" spans="1:11" hidden="1" x14ac:dyDescent="0.2">
      <c r="A389" s="316"/>
      <c r="B389" s="316"/>
      <c r="C389" s="316"/>
      <c r="D389" s="316"/>
      <c r="E389" s="316"/>
      <c r="F389" s="316"/>
      <c r="G389" s="316"/>
      <c r="H389" s="316"/>
      <c r="I389" s="316"/>
      <c r="J389" s="316"/>
      <c r="K389" s="316"/>
    </row>
    <row r="390" spans="1:11" hidden="1" x14ac:dyDescent="0.2">
      <c r="A390" s="316"/>
      <c r="B390" s="316"/>
      <c r="C390" s="316"/>
      <c r="D390" s="316"/>
      <c r="E390" s="316"/>
      <c r="F390" s="316"/>
      <c r="G390" s="316"/>
      <c r="H390" s="316"/>
      <c r="I390" s="316"/>
      <c r="J390" s="316"/>
      <c r="K390" s="316"/>
    </row>
    <row r="391" spans="1:11" hidden="1" x14ac:dyDescent="0.2">
      <c r="A391" s="316"/>
      <c r="B391" s="316"/>
      <c r="C391" s="316"/>
      <c r="D391" s="316"/>
      <c r="E391" s="316"/>
      <c r="F391" s="316"/>
      <c r="G391" s="316"/>
      <c r="H391" s="316"/>
      <c r="I391" s="316"/>
      <c r="J391" s="316"/>
      <c r="K391" s="316"/>
    </row>
    <row r="392" spans="1:11" hidden="1" x14ac:dyDescent="0.2">
      <c r="A392" s="316"/>
      <c r="B392" s="316"/>
      <c r="C392" s="316"/>
      <c r="D392" s="316"/>
      <c r="E392" s="316"/>
      <c r="F392" s="316"/>
      <c r="G392" s="316"/>
      <c r="H392" s="316"/>
      <c r="I392" s="316"/>
      <c r="J392" s="316"/>
      <c r="K392" s="316"/>
    </row>
    <row r="393" spans="1:11" hidden="1" x14ac:dyDescent="0.2">
      <c r="A393" s="316"/>
      <c r="B393" s="316"/>
      <c r="C393" s="316"/>
      <c r="D393" s="316"/>
      <c r="E393" s="316"/>
      <c r="F393" s="316"/>
      <c r="G393" s="316"/>
      <c r="H393" s="316"/>
      <c r="I393" s="316"/>
      <c r="J393" s="316"/>
      <c r="K393" s="316"/>
    </row>
    <row r="394" spans="1:11" hidden="1" x14ac:dyDescent="0.2">
      <c r="A394" s="316"/>
      <c r="B394" s="316"/>
      <c r="C394" s="316"/>
      <c r="D394" s="316"/>
      <c r="E394" s="316"/>
      <c r="F394" s="316"/>
      <c r="G394" s="316"/>
      <c r="H394" s="316"/>
      <c r="I394" s="316"/>
      <c r="J394" s="316"/>
      <c r="K394" s="316"/>
    </row>
    <row r="395" spans="1:11" hidden="1" x14ac:dyDescent="0.2">
      <c r="A395" s="316"/>
      <c r="B395" s="316"/>
      <c r="C395" s="316"/>
      <c r="D395" s="316"/>
      <c r="E395" s="316"/>
      <c r="F395" s="316"/>
      <c r="G395" s="316"/>
      <c r="H395" s="316"/>
      <c r="I395" s="316"/>
      <c r="J395" s="316"/>
      <c r="K395" s="316"/>
    </row>
    <row r="396" spans="1:11" hidden="1" x14ac:dyDescent="0.2">
      <c r="A396" s="316"/>
      <c r="B396" s="316"/>
      <c r="C396" s="316"/>
      <c r="D396" s="316"/>
      <c r="E396" s="316"/>
      <c r="F396" s="316"/>
      <c r="G396" s="316"/>
      <c r="H396" s="316"/>
      <c r="I396" s="316"/>
      <c r="J396" s="316"/>
      <c r="K396" s="316"/>
    </row>
    <row r="397" spans="1:11" hidden="1" x14ac:dyDescent="0.2">
      <c r="A397" s="316"/>
      <c r="B397" s="316"/>
      <c r="C397" s="316"/>
      <c r="D397" s="316"/>
      <c r="E397" s="316"/>
      <c r="F397" s="316"/>
      <c r="G397" s="316"/>
      <c r="H397" s="316"/>
      <c r="I397" s="316"/>
      <c r="J397" s="316"/>
      <c r="K397" s="316"/>
    </row>
    <row r="398" spans="1:11" hidden="1" x14ac:dyDescent="0.2">
      <c r="A398" s="316"/>
      <c r="B398" s="316"/>
      <c r="C398" s="316"/>
      <c r="D398" s="316"/>
      <c r="E398" s="316"/>
      <c r="F398" s="316"/>
      <c r="G398" s="316"/>
      <c r="H398" s="316"/>
      <c r="I398" s="316"/>
      <c r="J398" s="316"/>
      <c r="K398" s="316"/>
    </row>
    <row r="399" spans="1:11" hidden="1" x14ac:dyDescent="0.2">
      <c r="A399" s="316"/>
      <c r="B399" s="316"/>
      <c r="C399" s="316"/>
      <c r="D399" s="316"/>
      <c r="E399" s="316"/>
      <c r="F399" s="316"/>
      <c r="G399" s="316"/>
      <c r="H399" s="316"/>
      <c r="I399" s="316"/>
      <c r="J399" s="316"/>
      <c r="K399" s="316"/>
    </row>
    <row r="400" spans="1:11" hidden="1" x14ac:dyDescent="0.2">
      <c r="A400" s="316"/>
      <c r="B400" s="316"/>
      <c r="C400" s="316"/>
      <c r="D400" s="316"/>
      <c r="E400" s="316"/>
      <c r="F400" s="316"/>
      <c r="G400" s="316"/>
      <c r="H400" s="316"/>
      <c r="I400" s="316"/>
      <c r="J400" s="316"/>
      <c r="K400" s="316"/>
    </row>
    <row r="401" spans="1:11" hidden="1" x14ac:dyDescent="0.2">
      <c r="A401" s="316"/>
      <c r="B401" s="316"/>
      <c r="C401" s="316"/>
      <c r="D401" s="316"/>
      <c r="E401" s="316"/>
      <c r="F401" s="316"/>
      <c r="G401" s="316"/>
      <c r="H401" s="316"/>
      <c r="I401" s="316"/>
      <c r="J401" s="316"/>
      <c r="K401" s="316"/>
    </row>
    <row r="402" spans="1:11" hidden="1" x14ac:dyDescent="0.2">
      <c r="A402" s="316"/>
      <c r="B402" s="316"/>
      <c r="C402" s="316"/>
      <c r="D402" s="316"/>
      <c r="E402" s="316"/>
      <c r="F402" s="316"/>
      <c r="G402" s="316"/>
      <c r="H402" s="316"/>
      <c r="I402" s="316"/>
      <c r="J402" s="316"/>
      <c r="K402" s="316"/>
    </row>
    <row r="403" spans="1:11" hidden="1" x14ac:dyDescent="0.2">
      <c r="A403" s="316"/>
      <c r="B403" s="316"/>
      <c r="C403" s="316"/>
      <c r="D403" s="316"/>
      <c r="E403" s="316"/>
      <c r="F403" s="316"/>
      <c r="G403" s="316"/>
      <c r="H403" s="316"/>
      <c r="I403" s="316"/>
      <c r="J403" s="316"/>
      <c r="K403" s="316"/>
    </row>
    <row r="404" spans="1:11" hidden="1" x14ac:dyDescent="0.2">
      <c r="A404" s="316"/>
      <c r="B404" s="316"/>
      <c r="C404" s="316"/>
      <c r="D404" s="316"/>
      <c r="E404" s="316"/>
      <c r="F404" s="316"/>
      <c r="G404" s="316"/>
      <c r="H404" s="316"/>
      <c r="I404" s="316"/>
      <c r="J404" s="316"/>
      <c r="K404" s="316"/>
    </row>
    <row r="405" spans="1:11" hidden="1" x14ac:dyDescent="0.2">
      <c r="A405" s="316"/>
      <c r="B405" s="316"/>
      <c r="C405" s="316"/>
      <c r="D405" s="316"/>
      <c r="E405" s="316"/>
      <c r="F405" s="316"/>
      <c r="G405" s="316"/>
      <c r="H405" s="316"/>
      <c r="I405" s="316"/>
      <c r="J405" s="316"/>
      <c r="K405" s="316"/>
    </row>
    <row r="406" spans="1:11" hidden="1" x14ac:dyDescent="0.2">
      <c r="A406" s="316"/>
      <c r="B406" s="316"/>
      <c r="C406" s="316"/>
      <c r="D406" s="316"/>
      <c r="E406" s="316"/>
      <c r="F406" s="316"/>
      <c r="G406" s="316"/>
      <c r="H406" s="316"/>
      <c r="I406" s="316"/>
      <c r="J406" s="316"/>
      <c r="K406" s="316"/>
    </row>
    <row r="407" spans="1:11" hidden="1" x14ac:dyDescent="0.2">
      <c r="A407" s="316"/>
      <c r="B407" s="316"/>
      <c r="C407" s="316"/>
      <c r="D407" s="316"/>
      <c r="E407" s="316"/>
      <c r="F407" s="316"/>
      <c r="G407" s="316"/>
      <c r="H407" s="316"/>
      <c r="I407" s="316"/>
      <c r="J407" s="316"/>
      <c r="K407" s="316"/>
    </row>
    <row r="408" spans="1:11" hidden="1" x14ac:dyDescent="0.2">
      <c r="A408" s="316"/>
      <c r="B408" s="316"/>
      <c r="C408" s="316"/>
      <c r="D408" s="316"/>
      <c r="E408" s="316"/>
      <c r="F408" s="316"/>
      <c r="G408" s="316"/>
      <c r="H408" s="316"/>
      <c r="I408" s="316"/>
      <c r="J408" s="316"/>
      <c r="K408" s="316"/>
    </row>
    <row r="409" spans="1:11" hidden="1" x14ac:dyDescent="0.2">
      <c r="A409" s="316"/>
      <c r="B409" s="316"/>
      <c r="C409" s="316"/>
      <c r="D409" s="316"/>
      <c r="E409" s="316"/>
      <c r="F409" s="316"/>
      <c r="G409" s="316"/>
      <c r="H409" s="316"/>
      <c r="I409" s="316"/>
      <c r="J409" s="316"/>
      <c r="K409" s="316"/>
    </row>
    <row r="410" spans="1:11" hidden="1" x14ac:dyDescent="0.2">
      <c r="A410" s="316"/>
      <c r="B410" s="316"/>
      <c r="C410" s="316"/>
      <c r="D410" s="316"/>
      <c r="E410" s="316"/>
      <c r="F410" s="316"/>
      <c r="G410" s="316"/>
      <c r="H410" s="316"/>
      <c r="I410" s="316"/>
      <c r="J410" s="316"/>
      <c r="K410" s="316"/>
    </row>
    <row r="411" spans="1:11" hidden="1" x14ac:dyDescent="0.2">
      <c r="A411" s="316"/>
      <c r="B411" s="316"/>
      <c r="C411" s="316"/>
      <c r="D411" s="316"/>
      <c r="E411" s="316"/>
      <c r="F411" s="316"/>
      <c r="G411" s="316"/>
      <c r="H411" s="316"/>
      <c r="I411" s="316"/>
      <c r="J411" s="316"/>
      <c r="K411" s="316"/>
    </row>
    <row r="412" spans="1:11" hidden="1" x14ac:dyDescent="0.2">
      <c r="A412" s="316"/>
      <c r="B412" s="316"/>
      <c r="C412" s="316"/>
      <c r="D412" s="316"/>
      <c r="E412" s="316"/>
      <c r="F412" s="316"/>
      <c r="G412" s="316"/>
      <c r="H412" s="316"/>
      <c r="I412" s="316"/>
      <c r="J412" s="316"/>
      <c r="K412" s="316"/>
    </row>
    <row r="413" spans="1:11" hidden="1" x14ac:dyDescent="0.2">
      <c r="A413" s="316"/>
      <c r="B413" s="316"/>
      <c r="C413" s="316"/>
      <c r="D413" s="316"/>
      <c r="E413" s="316"/>
      <c r="F413" s="316"/>
      <c r="G413" s="316"/>
      <c r="H413" s="316"/>
      <c r="I413" s="316"/>
      <c r="J413" s="316"/>
      <c r="K413" s="316"/>
    </row>
    <row r="414" spans="1:11" hidden="1" x14ac:dyDescent="0.2">
      <c r="A414" s="316"/>
      <c r="B414" s="316"/>
      <c r="C414" s="316"/>
      <c r="D414" s="316"/>
      <c r="E414" s="316"/>
      <c r="F414" s="316"/>
      <c r="G414" s="316"/>
      <c r="H414" s="316"/>
      <c r="I414" s="316"/>
      <c r="J414" s="316"/>
      <c r="K414" s="316"/>
    </row>
    <row r="415" spans="1:11" hidden="1" x14ac:dyDescent="0.2">
      <c r="A415" s="316"/>
      <c r="B415" s="316"/>
      <c r="C415" s="316"/>
      <c r="D415" s="316"/>
      <c r="E415" s="316"/>
      <c r="F415" s="316"/>
      <c r="G415" s="316"/>
      <c r="H415" s="316"/>
      <c r="I415" s="316"/>
      <c r="J415" s="316"/>
      <c r="K415" s="316"/>
    </row>
    <row r="416" spans="1:11" hidden="1" x14ac:dyDescent="0.2">
      <c r="A416" s="316"/>
      <c r="B416" s="316"/>
      <c r="C416" s="316"/>
      <c r="D416" s="316"/>
      <c r="E416" s="316"/>
      <c r="F416" s="316"/>
      <c r="G416" s="316"/>
      <c r="H416" s="316"/>
      <c r="I416" s="316"/>
      <c r="J416" s="316"/>
      <c r="K416" s="316"/>
    </row>
    <row r="417" spans="1:11" hidden="1" x14ac:dyDescent="0.2">
      <c r="A417" s="316"/>
      <c r="B417" s="316"/>
      <c r="C417" s="316"/>
      <c r="D417" s="316"/>
      <c r="E417" s="316"/>
      <c r="F417" s="316"/>
      <c r="G417" s="316"/>
      <c r="H417" s="316"/>
      <c r="I417" s="316"/>
      <c r="J417" s="316"/>
      <c r="K417" s="316"/>
    </row>
    <row r="418" spans="1:11" hidden="1" x14ac:dyDescent="0.2">
      <c r="A418" s="316"/>
      <c r="B418" s="316"/>
      <c r="C418" s="316"/>
      <c r="D418" s="316"/>
      <c r="E418" s="316"/>
      <c r="F418" s="316"/>
      <c r="G418" s="316"/>
      <c r="H418" s="316"/>
      <c r="I418" s="316"/>
      <c r="J418" s="316"/>
      <c r="K418" s="316"/>
    </row>
    <row r="419" spans="1:11" hidden="1" x14ac:dyDescent="0.2">
      <c r="A419" s="316"/>
      <c r="B419" s="316"/>
      <c r="C419" s="316"/>
      <c r="D419" s="316"/>
      <c r="E419" s="316"/>
      <c r="F419" s="316"/>
      <c r="G419" s="316"/>
      <c r="H419" s="316"/>
      <c r="I419" s="316"/>
      <c r="J419" s="316"/>
      <c r="K419" s="316"/>
    </row>
    <row r="420" spans="1:11" hidden="1" x14ac:dyDescent="0.2">
      <c r="A420" s="316"/>
      <c r="B420" s="316"/>
      <c r="C420" s="316"/>
      <c r="D420" s="316"/>
      <c r="E420" s="316"/>
      <c r="F420" s="316"/>
      <c r="G420" s="316"/>
      <c r="H420" s="316"/>
      <c r="I420" s="316"/>
      <c r="J420" s="316"/>
      <c r="K420" s="316"/>
    </row>
    <row r="421" spans="1:11" hidden="1" x14ac:dyDescent="0.2">
      <c r="A421" s="316"/>
      <c r="B421" s="316"/>
      <c r="C421" s="316"/>
      <c r="D421" s="316"/>
      <c r="E421" s="316"/>
      <c r="F421" s="316"/>
      <c r="G421" s="316"/>
      <c r="H421" s="316"/>
      <c r="I421" s="316"/>
      <c r="J421" s="316"/>
      <c r="K421" s="316"/>
    </row>
    <row r="422" spans="1:11" hidden="1" x14ac:dyDescent="0.2">
      <c r="A422" s="316"/>
      <c r="B422" s="316"/>
      <c r="C422" s="316"/>
      <c r="D422" s="316"/>
      <c r="E422" s="316"/>
      <c r="F422" s="316"/>
      <c r="G422" s="316"/>
      <c r="H422" s="316"/>
      <c r="I422" s="316"/>
      <c r="J422" s="316"/>
      <c r="K422" s="316"/>
    </row>
    <row r="423" spans="1:11" hidden="1" x14ac:dyDescent="0.2">
      <c r="A423" s="316"/>
      <c r="B423" s="316"/>
      <c r="C423" s="316"/>
      <c r="D423" s="316"/>
      <c r="E423" s="316"/>
      <c r="F423" s="316"/>
      <c r="G423" s="316"/>
      <c r="H423" s="316"/>
      <c r="I423" s="316"/>
      <c r="J423" s="316"/>
      <c r="K423" s="316"/>
    </row>
    <row r="424" spans="1:11" hidden="1" x14ac:dyDescent="0.2">
      <c r="A424" s="316"/>
      <c r="B424" s="316"/>
      <c r="C424" s="316"/>
      <c r="D424" s="316"/>
      <c r="E424" s="316"/>
      <c r="F424" s="316"/>
      <c r="G424" s="316"/>
      <c r="H424" s="316"/>
      <c r="I424" s="316"/>
      <c r="J424" s="316"/>
      <c r="K424" s="316"/>
    </row>
    <row r="425" spans="1:11" hidden="1" x14ac:dyDescent="0.2">
      <c r="A425" s="316"/>
      <c r="B425" s="316"/>
      <c r="C425" s="316"/>
      <c r="D425" s="316"/>
      <c r="E425" s="316"/>
      <c r="F425" s="316"/>
      <c r="G425" s="316"/>
      <c r="H425" s="316"/>
      <c r="I425" s="316"/>
      <c r="J425" s="316"/>
      <c r="K425" s="316"/>
    </row>
    <row r="426" spans="1:11" hidden="1" x14ac:dyDescent="0.2">
      <c r="A426" s="316"/>
      <c r="B426" s="316"/>
      <c r="C426" s="316"/>
      <c r="D426" s="316"/>
      <c r="E426" s="316"/>
      <c r="F426" s="316"/>
      <c r="G426" s="316"/>
      <c r="H426" s="316"/>
      <c r="I426" s="316"/>
      <c r="J426" s="316"/>
      <c r="K426" s="316"/>
    </row>
    <row r="427" spans="1:11" hidden="1" x14ac:dyDescent="0.2">
      <c r="A427" s="316"/>
      <c r="B427" s="316"/>
      <c r="C427" s="316"/>
      <c r="D427" s="316"/>
      <c r="E427" s="316"/>
      <c r="F427" s="316"/>
      <c r="G427" s="316"/>
      <c r="H427" s="316"/>
      <c r="I427" s="316"/>
      <c r="J427" s="316"/>
      <c r="K427" s="316"/>
    </row>
    <row r="428" spans="1:11" hidden="1" x14ac:dyDescent="0.2">
      <c r="A428" s="316"/>
      <c r="B428" s="316"/>
      <c r="C428" s="316"/>
      <c r="D428" s="316"/>
      <c r="E428" s="316"/>
      <c r="F428" s="316"/>
      <c r="G428" s="316"/>
      <c r="H428" s="316"/>
      <c r="I428" s="316"/>
      <c r="J428" s="316"/>
      <c r="K428" s="316"/>
    </row>
    <row r="429" spans="1:11" hidden="1" x14ac:dyDescent="0.2">
      <c r="A429" s="316"/>
      <c r="B429" s="316"/>
      <c r="C429" s="316"/>
      <c r="D429" s="316"/>
      <c r="E429" s="316"/>
      <c r="F429" s="316"/>
      <c r="G429" s="316"/>
      <c r="H429" s="316"/>
      <c r="I429" s="316"/>
      <c r="J429" s="316"/>
      <c r="K429" s="316"/>
    </row>
    <row r="430" spans="1:11" hidden="1" x14ac:dyDescent="0.2">
      <c r="A430" s="316"/>
      <c r="B430" s="316"/>
      <c r="C430" s="316"/>
      <c r="D430" s="316"/>
      <c r="E430" s="316"/>
      <c r="F430" s="316"/>
      <c r="G430" s="316"/>
      <c r="H430" s="316"/>
      <c r="I430" s="316"/>
      <c r="J430" s="316"/>
      <c r="K430" s="316"/>
    </row>
    <row r="431" spans="1:11" hidden="1" x14ac:dyDescent="0.2">
      <c r="A431" s="316"/>
      <c r="B431" s="316"/>
      <c r="C431" s="316"/>
      <c r="D431" s="316"/>
      <c r="E431" s="316"/>
      <c r="F431" s="316"/>
      <c r="G431" s="316"/>
      <c r="H431" s="316"/>
      <c r="I431" s="316"/>
      <c r="J431" s="316"/>
      <c r="K431" s="316"/>
    </row>
    <row r="432" spans="1:11" hidden="1" x14ac:dyDescent="0.2">
      <c r="A432" s="316"/>
      <c r="B432" s="316"/>
      <c r="C432" s="316"/>
      <c r="D432" s="316"/>
      <c r="E432" s="316"/>
      <c r="F432" s="316"/>
      <c r="G432" s="316"/>
      <c r="H432" s="316"/>
      <c r="I432" s="316"/>
      <c r="J432" s="316"/>
      <c r="K432" s="316"/>
    </row>
    <row r="433" spans="1:11" hidden="1" x14ac:dyDescent="0.2">
      <c r="A433" s="316"/>
      <c r="B433" s="316"/>
      <c r="C433" s="316"/>
      <c r="D433" s="316"/>
      <c r="E433" s="316"/>
      <c r="F433" s="316"/>
      <c r="G433" s="316"/>
      <c r="H433" s="316"/>
      <c r="I433" s="316"/>
      <c r="J433" s="316"/>
      <c r="K433" s="316"/>
    </row>
    <row r="434" spans="1:11" hidden="1" x14ac:dyDescent="0.2">
      <c r="A434" s="316"/>
      <c r="B434" s="316"/>
      <c r="C434" s="316"/>
      <c r="D434" s="316"/>
      <c r="E434" s="316"/>
      <c r="F434" s="316"/>
      <c r="G434" s="316"/>
      <c r="H434" s="316"/>
      <c r="I434" s="316"/>
      <c r="J434" s="316"/>
      <c r="K434" s="316"/>
    </row>
    <row r="435" spans="1:11" hidden="1" x14ac:dyDescent="0.2">
      <c r="A435" s="316"/>
      <c r="B435" s="316"/>
      <c r="C435" s="316"/>
      <c r="D435" s="316"/>
      <c r="E435" s="316"/>
      <c r="F435" s="316"/>
      <c r="G435" s="316"/>
      <c r="H435" s="316"/>
      <c r="I435" s="316"/>
      <c r="J435" s="316"/>
      <c r="K435" s="316"/>
    </row>
    <row r="436" spans="1:11" hidden="1" x14ac:dyDescent="0.2">
      <c r="A436" s="316"/>
      <c r="B436" s="316"/>
      <c r="C436" s="316"/>
      <c r="D436" s="316"/>
      <c r="E436" s="316"/>
      <c r="F436" s="316"/>
      <c r="G436" s="316"/>
      <c r="H436" s="316"/>
      <c r="I436" s="316"/>
      <c r="J436" s="316"/>
      <c r="K436" s="316"/>
    </row>
    <row r="437" spans="1:11" hidden="1" x14ac:dyDescent="0.2">
      <c r="A437" s="316"/>
      <c r="B437" s="316"/>
      <c r="C437" s="316"/>
      <c r="D437" s="316"/>
      <c r="E437" s="316"/>
      <c r="F437" s="316"/>
      <c r="G437" s="316"/>
      <c r="H437" s="316"/>
      <c r="I437" s="316"/>
      <c r="J437" s="316"/>
      <c r="K437" s="316"/>
    </row>
    <row r="438" spans="1:11" hidden="1" x14ac:dyDescent="0.2">
      <c r="A438" s="316"/>
      <c r="B438" s="316"/>
      <c r="C438" s="316"/>
      <c r="D438" s="316"/>
      <c r="E438" s="316"/>
      <c r="F438" s="316"/>
      <c r="G438" s="316"/>
      <c r="H438" s="316"/>
      <c r="I438" s="316"/>
      <c r="J438" s="316"/>
      <c r="K438" s="316"/>
    </row>
    <row r="439" spans="1:11" hidden="1" x14ac:dyDescent="0.2">
      <c r="A439" s="316"/>
      <c r="B439" s="316"/>
      <c r="C439" s="316"/>
      <c r="D439" s="316"/>
      <c r="E439" s="316"/>
      <c r="F439" s="316"/>
      <c r="G439" s="316"/>
      <c r="H439" s="316"/>
      <c r="I439" s="316"/>
      <c r="J439" s="316"/>
      <c r="K439" s="316"/>
    </row>
    <row r="440" spans="1:11" hidden="1" x14ac:dyDescent="0.2">
      <c r="A440" s="316"/>
      <c r="B440" s="316"/>
      <c r="C440" s="316"/>
      <c r="D440" s="316"/>
      <c r="E440" s="316"/>
      <c r="F440" s="316"/>
      <c r="G440" s="316"/>
      <c r="H440" s="316"/>
      <c r="I440" s="316"/>
      <c r="J440" s="316"/>
      <c r="K440" s="316"/>
    </row>
    <row r="441" spans="1:11" hidden="1" x14ac:dyDescent="0.2">
      <c r="A441" s="316"/>
      <c r="B441" s="316"/>
      <c r="C441" s="316"/>
      <c r="D441" s="316"/>
      <c r="E441" s="316"/>
      <c r="F441" s="316"/>
      <c r="G441" s="316"/>
      <c r="H441" s="316"/>
      <c r="I441" s="316"/>
      <c r="J441" s="316"/>
      <c r="K441" s="316"/>
    </row>
    <row r="442" spans="1:11" hidden="1" x14ac:dyDescent="0.2">
      <c r="A442" s="316"/>
      <c r="B442" s="316"/>
      <c r="C442" s="316"/>
      <c r="D442" s="316"/>
      <c r="E442" s="316"/>
      <c r="F442" s="316"/>
      <c r="G442" s="316"/>
      <c r="H442" s="316"/>
      <c r="I442" s="316"/>
      <c r="J442" s="316"/>
      <c r="K442" s="316"/>
    </row>
    <row r="443" spans="1:11" hidden="1" x14ac:dyDescent="0.2">
      <c r="A443" s="316"/>
      <c r="B443" s="316"/>
      <c r="C443" s="316"/>
      <c r="D443" s="316"/>
      <c r="E443" s="316"/>
      <c r="F443" s="316"/>
      <c r="G443" s="316"/>
      <c r="H443" s="316"/>
      <c r="I443" s="316"/>
      <c r="J443" s="316"/>
      <c r="K443" s="316"/>
    </row>
    <row r="444" spans="1:11" hidden="1" x14ac:dyDescent="0.2">
      <c r="A444" s="316"/>
      <c r="B444" s="316"/>
      <c r="C444" s="316"/>
      <c r="D444" s="316"/>
      <c r="E444" s="316"/>
      <c r="F444" s="316"/>
      <c r="G444" s="316"/>
      <c r="H444" s="316"/>
      <c r="I444" s="316"/>
      <c r="J444" s="316"/>
      <c r="K444" s="316"/>
    </row>
    <row r="445" spans="1:11" hidden="1" x14ac:dyDescent="0.2">
      <c r="A445" s="316"/>
      <c r="B445" s="316"/>
      <c r="C445" s="316"/>
      <c r="D445" s="316"/>
      <c r="E445" s="316"/>
      <c r="F445" s="316"/>
      <c r="G445" s="316"/>
      <c r="H445" s="316"/>
      <c r="I445" s="316"/>
      <c r="J445" s="316"/>
      <c r="K445" s="316"/>
    </row>
    <row r="446" spans="1:11" hidden="1" x14ac:dyDescent="0.2">
      <c r="A446" s="316"/>
      <c r="B446" s="316"/>
      <c r="C446" s="316"/>
      <c r="D446" s="316"/>
      <c r="E446" s="316"/>
      <c r="F446" s="316"/>
      <c r="G446" s="316"/>
      <c r="H446" s="316"/>
      <c r="I446" s="316"/>
      <c r="J446" s="316"/>
      <c r="K446" s="316"/>
    </row>
    <row r="447" spans="1:11" hidden="1" x14ac:dyDescent="0.2">
      <c r="A447" s="316"/>
      <c r="B447" s="316"/>
      <c r="C447" s="316"/>
      <c r="D447" s="316"/>
      <c r="E447" s="316"/>
      <c r="F447" s="316"/>
      <c r="G447" s="316"/>
      <c r="H447" s="316"/>
      <c r="I447" s="316"/>
      <c r="J447" s="316"/>
      <c r="K447" s="316"/>
    </row>
    <row r="448" spans="1:11" hidden="1" x14ac:dyDescent="0.2">
      <c r="A448" s="316"/>
      <c r="B448" s="316"/>
      <c r="C448" s="316"/>
      <c r="D448" s="316"/>
      <c r="E448" s="316"/>
      <c r="F448" s="316"/>
      <c r="G448" s="316"/>
      <c r="H448" s="316"/>
      <c r="I448" s="316"/>
      <c r="J448" s="316"/>
      <c r="K448" s="316"/>
    </row>
    <row r="449" spans="1:11" hidden="1" x14ac:dyDescent="0.2">
      <c r="A449" s="316"/>
      <c r="B449" s="316"/>
      <c r="C449" s="316"/>
      <c r="D449" s="316"/>
      <c r="E449" s="316"/>
      <c r="F449" s="316"/>
      <c r="G449" s="316"/>
      <c r="H449" s="316"/>
      <c r="I449" s="316"/>
      <c r="J449" s="316"/>
      <c r="K449" s="316"/>
    </row>
    <row r="450" spans="1:11" hidden="1" x14ac:dyDescent="0.2">
      <c r="A450" s="316"/>
      <c r="B450" s="316"/>
      <c r="C450" s="316"/>
      <c r="D450" s="316"/>
      <c r="E450" s="316"/>
      <c r="F450" s="316"/>
      <c r="G450" s="316"/>
      <c r="H450" s="316"/>
      <c r="I450" s="316"/>
      <c r="J450" s="316"/>
      <c r="K450" s="316"/>
    </row>
    <row r="451" spans="1:11" hidden="1" x14ac:dyDescent="0.2">
      <c r="A451" s="316"/>
      <c r="B451" s="316"/>
      <c r="C451" s="316"/>
      <c r="D451" s="316"/>
      <c r="E451" s="316"/>
      <c r="F451" s="316"/>
      <c r="G451" s="316"/>
      <c r="H451" s="316"/>
      <c r="I451" s="316"/>
      <c r="J451" s="316"/>
      <c r="K451" s="316"/>
    </row>
    <row r="452" spans="1:11" hidden="1" x14ac:dyDescent="0.2">
      <c r="A452" s="316"/>
      <c r="B452" s="316"/>
      <c r="C452" s="316"/>
      <c r="D452" s="316"/>
      <c r="E452" s="316"/>
      <c r="F452" s="316"/>
      <c r="G452" s="316"/>
      <c r="H452" s="316"/>
      <c r="I452" s="316"/>
      <c r="J452" s="316"/>
      <c r="K452" s="316"/>
    </row>
    <row r="453" spans="1:11" hidden="1" x14ac:dyDescent="0.2">
      <c r="A453" s="316"/>
      <c r="B453" s="316"/>
      <c r="C453" s="316"/>
      <c r="D453" s="316"/>
      <c r="E453" s="316"/>
      <c r="F453" s="316"/>
      <c r="G453" s="316"/>
      <c r="H453" s="316"/>
      <c r="I453" s="316"/>
      <c r="J453" s="316"/>
      <c r="K453" s="316"/>
    </row>
    <row r="454" spans="1:11" hidden="1" x14ac:dyDescent="0.2">
      <c r="A454" s="316"/>
      <c r="B454" s="316"/>
      <c r="C454" s="316"/>
      <c r="D454" s="316"/>
      <c r="E454" s="316"/>
      <c r="F454" s="316"/>
      <c r="G454" s="316"/>
      <c r="H454" s="316"/>
      <c r="I454" s="316"/>
      <c r="J454" s="316"/>
      <c r="K454" s="316"/>
    </row>
    <row r="455" spans="1:11" hidden="1" x14ac:dyDescent="0.2">
      <c r="A455" s="316"/>
      <c r="B455" s="316"/>
      <c r="C455" s="316"/>
      <c r="D455" s="316"/>
      <c r="E455" s="316"/>
      <c r="F455" s="316"/>
      <c r="G455" s="316"/>
      <c r="H455" s="316"/>
      <c r="I455" s="316"/>
      <c r="J455" s="316"/>
      <c r="K455" s="316"/>
    </row>
    <row r="456" spans="1:11" hidden="1" x14ac:dyDescent="0.2">
      <c r="A456" s="316"/>
      <c r="B456" s="316"/>
      <c r="C456" s="316"/>
      <c r="D456" s="316"/>
      <c r="E456" s="316"/>
      <c r="F456" s="316"/>
      <c r="G456" s="316"/>
      <c r="H456" s="316"/>
      <c r="I456" s="316"/>
      <c r="J456" s="316"/>
      <c r="K456" s="316"/>
    </row>
    <row r="457" spans="1:11" hidden="1" x14ac:dyDescent="0.2">
      <c r="A457" s="316"/>
      <c r="B457" s="316"/>
      <c r="C457" s="316"/>
      <c r="D457" s="316"/>
      <c r="E457" s="316"/>
      <c r="F457" s="316"/>
      <c r="G457" s="316"/>
      <c r="H457" s="316"/>
      <c r="I457" s="316"/>
      <c r="J457" s="316"/>
      <c r="K457" s="316"/>
    </row>
    <row r="458" spans="1:11" hidden="1" x14ac:dyDescent="0.2">
      <c r="A458" s="316"/>
      <c r="B458" s="316"/>
      <c r="C458" s="316"/>
      <c r="D458" s="316"/>
      <c r="E458" s="316"/>
      <c r="F458" s="316"/>
      <c r="G458" s="316"/>
      <c r="H458" s="316"/>
      <c r="I458" s="316"/>
      <c r="J458" s="316"/>
      <c r="K458" s="316"/>
    </row>
    <row r="459" spans="1:11" hidden="1" x14ac:dyDescent="0.2">
      <c r="A459" s="316"/>
      <c r="B459" s="316"/>
      <c r="C459" s="316"/>
      <c r="D459" s="316"/>
      <c r="E459" s="316"/>
      <c r="F459" s="316"/>
      <c r="G459" s="316"/>
      <c r="H459" s="316"/>
      <c r="I459" s="316"/>
      <c r="J459" s="316"/>
      <c r="K459" s="316"/>
    </row>
    <row r="460" spans="1:11" hidden="1" x14ac:dyDescent="0.2">
      <c r="A460" s="316"/>
      <c r="B460" s="316"/>
      <c r="C460" s="316"/>
      <c r="D460" s="316"/>
      <c r="E460" s="316"/>
      <c r="F460" s="316"/>
      <c r="G460" s="316"/>
      <c r="H460" s="316"/>
      <c r="I460" s="316"/>
      <c r="J460" s="316"/>
      <c r="K460" s="316"/>
    </row>
    <row r="461" spans="1:11" hidden="1" x14ac:dyDescent="0.2">
      <c r="A461" s="316"/>
      <c r="B461" s="316"/>
      <c r="C461" s="316"/>
      <c r="D461" s="316"/>
      <c r="E461" s="316"/>
      <c r="F461" s="316"/>
      <c r="G461" s="316"/>
      <c r="H461" s="316"/>
      <c r="I461" s="316"/>
      <c r="J461" s="316"/>
      <c r="K461" s="316"/>
    </row>
    <row r="462" spans="1:11" hidden="1" x14ac:dyDescent="0.2">
      <c r="A462" s="316"/>
      <c r="B462" s="316"/>
      <c r="C462" s="316"/>
      <c r="D462" s="316"/>
      <c r="E462" s="316"/>
      <c r="F462" s="316"/>
      <c r="G462" s="316"/>
      <c r="H462" s="316"/>
      <c r="I462" s="316"/>
      <c r="J462" s="316"/>
      <c r="K462" s="316"/>
    </row>
    <row r="463" spans="1:11" hidden="1" x14ac:dyDescent="0.2">
      <c r="A463" s="316"/>
      <c r="B463" s="316"/>
      <c r="C463" s="316"/>
      <c r="D463" s="316"/>
      <c r="E463" s="316"/>
      <c r="F463" s="316"/>
      <c r="G463" s="316"/>
      <c r="H463" s="316"/>
      <c r="I463" s="316"/>
      <c r="J463" s="316"/>
      <c r="K463" s="316"/>
    </row>
    <row r="464" spans="1:11" hidden="1" x14ac:dyDescent="0.2">
      <c r="A464" s="316"/>
      <c r="B464" s="316"/>
      <c r="C464" s="316"/>
      <c r="D464" s="316"/>
      <c r="E464" s="316"/>
      <c r="F464" s="316"/>
      <c r="G464" s="316"/>
      <c r="H464" s="316"/>
      <c r="I464" s="316"/>
      <c r="J464" s="316"/>
      <c r="K464" s="316"/>
    </row>
    <row r="465" spans="1:11" hidden="1" x14ac:dyDescent="0.2">
      <c r="A465" s="316"/>
      <c r="B465" s="316"/>
      <c r="C465" s="316"/>
      <c r="D465" s="316"/>
      <c r="E465" s="316"/>
      <c r="F465" s="316"/>
      <c r="G465" s="316"/>
      <c r="H465" s="316"/>
      <c r="I465" s="316"/>
      <c r="J465" s="316"/>
      <c r="K465" s="316"/>
    </row>
    <row r="466" spans="1:11" hidden="1" x14ac:dyDescent="0.2">
      <c r="A466" s="316"/>
      <c r="B466" s="316"/>
      <c r="C466" s="316"/>
      <c r="D466" s="316"/>
      <c r="E466" s="316"/>
      <c r="F466" s="316"/>
      <c r="G466" s="316"/>
      <c r="H466" s="316"/>
      <c r="I466" s="316"/>
      <c r="J466" s="316"/>
      <c r="K466" s="316"/>
    </row>
    <row r="467" spans="1:11" hidden="1" x14ac:dyDescent="0.2">
      <c r="A467" s="316"/>
      <c r="B467" s="316"/>
      <c r="C467" s="316"/>
      <c r="D467" s="316"/>
      <c r="E467" s="316"/>
      <c r="F467" s="316"/>
      <c r="G467" s="316"/>
      <c r="H467" s="316"/>
      <c r="I467" s="316"/>
      <c r="J467" s="316"/>
      <c r="K467" s="316"/>
    </row>
    <row r="468" spans="1:11" hidden="1" x14ac:dyDescent="0.2">
      <c r="A468" s="316"/>
      <c r="B468" s="316"/>
      <c r="C468" s="316"/>
      <c r="D468" s="316"/>
      <c r="E468" s="316"/>
      <c r="F468" s="316"/>
      <c r="G468" s="316"/>
      <c r="H468" s="316"/>
      <c r="I468" s="316"/>
      <c r="J468" s="316"/>
      <c r="K468" s="316"/>
    </row>
    <row r="469" spans="1:11" hidden="1" x14ac:dyDescent="0.2">
      <c r="A469" s="316"/>
      <c r="B469" s="316"/>
      <c r="C469" s="316"/>
      <c r="D469" s="316"/>
      <c r="E469" s="316"/>
      <c r="F469" s="316"/>
      <c r="G469" s="316"/>
      <c r="H469" s="316"/>
      <c r="I469" s="316"/>
      <c r="J469" s="316"/>
      <c r="K469" s="316"/>
    </row>
    <row r="470" spans="1:11" hidden="1" x14ac:dyDescent="0.2">
      <c r="A470" s="316"/>
      <c r="B470" s="316"/>
      <c r="C470" s="316"/>
      <c r="D470" s="316"/>
      <c r="E470" s="316"/>
      <c r="F470" s="316"/>
      <c r="G470" s="316"/>
      <c r="H470" s="316"/>
      <c r="I470" s="316"/>
      <c r="J470" s="316"/>
      <c r="K470" s="316"/>
    </row>
    <row r="471" spans="1:11" hidden="1" x14ac:dyDescent="0.2">
      <c r="A471" s="316"/>
      <c r="B471" s="316"/>
      <c r="C471" s="316"/>
      <c r="D471" s="316"/>
      <c r="E471" s="316"/>
      <c r="F471" s="316"/>
      <c r="G471" s="316"/>
      <c r="H471" s="316"/>
      <c r="I471" s="316"/>
      <c r="J471" s="316"/>
      <c r="K471" s="316"/>
    </row>
    <row r="472" spans="1:11" hidden="1" x14ac:dyDescent="0.2">
      <c r="A472" s="316"/>
      <c r="B472" s="316"/>
      <c r="C472" s="316"/>
      <c r="D472" s="316"/>
      <c r="E472" s="316"/>
      <c r="F472" s="316"/>
      <c r="G472" s="316"/>
      <c r="H472" s="316"/>
      <c r="I472" s="316"/>
      <c r="J472" s="316"/>
      <c r="K472" s="316"/>
    </row>
    <row r="473" spans="1:11" hidden="1" x14ac:dyDescent="0.2">
      <c r="A473" s="316"/>
      <c r="B473" s="316"/>
      <c r="C473" s="316"/>
      <c r="D473" s="316"/>
      <c r="E473" s="316"/>
      <c r="F473" s="316"/>
      <c r="G473" s="316"/>
      <c r="H473" s="316"/>
      <c r="I473" s="316"/>
      <c r="J473" s="316"/>
      <c r="K473" s="316"/>
    </row>
    <row r="474" spans="1:11" hidden="1" x14ac:dyDescent="0.2">
      <c r="A474" s="316"/>
      <c r="B474" s="316"/>
      <c r="C474" s="316"/>
      <c r="D474" s="316"/>
      <c r="E474" s="316"/>
      <c r="F474" s="316"/>
      <c r="G474" s="316"/>
      <c r="H474" s="316"/>
      <c r="I474" s="316"/>
      <c r="J474" s="316"/>
      <c r="K474" s="316"/>
    </row>
    <row r="475" spans="1:11" hidden="1" x14ac:dyDescent="0.2">
      <c r="A475" s="316"/>
      <c r="B475" s="316"/>
      <c r="C475" s="316"/>
      <c r="D475" s="316"/>
      <c r="E475" s="316"/>
      <c r="F475" s="316"/>
      <c r="G475" s="316"/>
      <c r="H475" s="316"/>
      <c r="I475" s="316"/>
      <c r="J475" s="316"/>
      <c r="K475" s="316"/>
    </row>
    <row r="476" spans="1:11" hidden="1" x14ac:dyDescent="0.2">
      <c r="A476" s="316"/>
      <c r="B476" s="316"/>
      <c r="C476" s="316"/>
      <c r="D476" s="316"/>
      <c r="E476" s="316"/>
      <c r="F476" s="316"/>
      <c r="G476" s="316"/>
      <c r="H476" s="316"/>
      <c r="I476" s="316"/>
      <c r="J476" s="316"/>
      <c r="K476" s="316"/>
    </row>
    <row r="477" spans="1:11" hidden="1" x14ac:dyDescent="0.2">
      <c r="A477" s="316"/>
      <c r="B477" s="316"/>
      <c r="C477" s="316"/>
      <c r="D477" s="316"/>
      <c r="E477" s="316"/>
      <c r="F477" s="316"/>
      <c r="G477" s="316"/>
      <c r="H477" s="316"/>
      <c r="I477" s="316"/>
      <c r="J477" s="316"/>
      <c r="K477" s="316"/>
    </row>
    <row r="478" spans="1:11" hidden="1" x14ac:dyDescent="0.2">
      <c r="A478" s="316"/>
      <c r="B478" s="316"/>
      <c r="C478" s="316"/>
      <c r="D478" s="316"/>
      <c r="E478" s="316"/>
      <c r="F478" s="316"/>
      <c r="G478" s="316"/>
      <c r="H478" s="316"/>
      <c r="I478" s="316"/>
      <c r="J478" s="316"/>
      <c r="K478" s="316"/>
    </row>
    <row r="479" spans="1:11" hidden="1" x14ac:dyDescent="0.2">
      <c r="A479" s="316"/>
      <c r="B479" s="316"/>
      <c r="C479" s="316"/>
      <c r="D479" s="316"/>
      <c r="E479" s="316"/>
      <c r="F479" s="316"/>
      <c r="G479" s="316"/>
      <c r="H479" s="316"/>
      <c r="I479" s="316"/>
      <c r="J479" s="316"/>
      <c r="K479" s="316"/>
    </row>
    <row r="480" spans="1:11" hidden="1" x14ac:dyDescent="0.2">
      <c r="A480" s="316"/>
      <c r="B480" s="316"/>
      <c r="C480" s="316"/>
      <c r="D480" s="316"/>
      <c r="E480" s="316"/>
      <c r="F480" s="316"/>
      <c r="G480" s="316"/>
      <c r="H480" s="316"/>
      <c r="I480" s="316"/>
      <c r="J480" s="316"/>
      <c r="K480" s="316"/>
    </row>
    <row r="481" spans="1:11" hidden="1" x14ac:dyDescent="0.2">
      <c r="A481" s="316"/>
      <c r="B481" s="316"/>
      <c r="C481" s="316"/>
      <c r="D481" s="316"/>
      <c r="E481" s="316"/>
      <c r="F481" s="316"/>
      <c r="G481" s="316"/>
      <c r="H481" s="316"/>
      <c r="I481" s="316"/>
      <c r="J481" s="316"/>
      <c r="K481" s="316"/>
    </row>
    <row r="482" spans="1:11" hidden="1" x14ac:dyDescent="0.2">
      <c r="A482" s="316"/>
      <c r="B482" s="316"/>
      <c r="C482" s="316"/>
      <c r="D482" s="316"/>
      <c r="E482" s="316"/>
      <c r="F482" s="316"/>
      <c r="G482" s="316"/>
      <c r="H482" s="316"/>
      <c r="I482" s="316"/>
      <c r="J482" s="316"/>
      <c r="K482" s="316"/>
    </row>
    <row r="483" spans="1:11" hidden="1" x14ac:dyDescent="0.2">
      <c r="A483" s="316"/>
      <c r="B483" s="316"/>
      <c r="C483" s="316"/>
      <c r="D483" s="316"/>
      <c r="E483" s="316"/>
      <c r="F483" s="316"/>
      <c r="G483" s="316"/>
      <c r="H483" s="316"/>
      <c r="I483" s="316"/>
      <c r="J483" s="316"/>
      <c r="K483" s="316"/>
    </row>
    <row r="484" spans="1:11" hidden="1" x14ac:dyDescent="0.2">
      <c r="A484" s="316"/>
      <c r="B484" s="316"/>
      <c r="C484" s="316"/>
      <c r="D484" s="316"/>
      <c r="E484" s="316"/>
      <c r="F484" s="316"/>
      <c r="G484" s="316"/>
      <c r="H484" s="316"/>
      <c r="I484" s="316"/>
      <c r="J484" s="316"/>
      <c r="K484" s="316"/>
    </row>
    <row r="485" spans="1:11" hidden="1" x14ac:dyDescent="0.2">
      <c r="A485" s="316"/>
      <c r="B485" s="316"/>
      <c r="C485" s="316"/>
      <c r="D485" s="316"/>
      <c r="E485" s="316"/>
      <c r="F485" s="316"/>
      <c r="G485" s="316"/>
      <c r="H485" s="316"/>
      <c r="I485" s="316"/>
      <c r="J485" s="316"/>
      <c r="K485" s="316"/>
    </row>
    <row r="486" spans="1:11" hidden="1" x14ac:dyDescent="0.2">
      <c r="A486" s="316"/>
      <c r="B486" s="316"/>
      <c r="C486" s="316"/>
      <c r="D486" s="316"/>
      <c r="E486" s="316"/>
      <c r="F486" s="316"/>
      <c r="G486" s="316"/>
      <c r="H486" s="316"/>
      <c r="I486" s="316"/>
      <c r="J486" s="316"/>
      <c r="K486" s="316"/>
    </row>
    <row r="487" spans="1:11" hidden="1" x14ac:dyDescent="0.2">
      <c r="A487" s="316"/>
      <c r="B487" s="316"/>
      <c r="C487" s="316"/>
      <c r="D487" s="316"/>
      <c r="E487" s="316"/>
      <c r="F487" s="316"/>
      <c r="G487" s="316"/>
      <c r="H487" s="316"/>
      <c r="I487" s="316"/>
      <c r="J487" s="316"/>
      <c r="K487" s="316"/>
    </row>
    <row r="488" spans="1:11" hidden="1" x14ac:dyDescent="0.2">
      <c r="A488" s="316"/>
      <c r="B488" s="316"/>
      <c r="C488" s="316"/>
      <c r="D488" s="316"/>
      <c r="E488" s="316"/>
      <c r="F488" s="316"/>
      <c r="G488" s="316"/>
      <c r="H488" s="316"/>
      <c r="I488" s="316"/>
      <c r="J488" s="316"/>
      <c r="K488" s="316"/>
    </row>
    <row r="489" spans="1:11" hidden="1" x14ac:dyDescent="0.2">
      <c r="A489" s="316"/>
      <c r="B489" s="316"/>
      <c r="C489" s="316"/>
      <c r="D489" s="316"/>
      <c r="E489" s="316"/>
      <c r="F489" s="316"/>
      <c r="G489" s="316"/>
      <c r="H489" s="316"/>
      <c r="I489" s="316"/>
      <c r="J489" s="316"/>
      <c r="K489" s="316"/>
    </row>
    <row r="490" spans="1:11" hidden="1" x14ac:dyDescent="0.2">
      <c r="A490" s="316"/>
      <c r="B490" s="316"/>
      <c r="C490" s="316"/>
      <c r="D490" s="316"/>
      <c r="E490" s="316"/>
      <c r="F490" s="316"/>
      <c r="G490" s="316"/>
      <c r="H490" s="316"/>
      <c r="I490" s="316"/>
      <c r="J490" s="316"/>
      <c r="K490" s="316"/>
    </row>
    <row r="491" spans="1:11" hidden="1" x14ac:dyDescent="0.2">
      <c r="A491" s="316"/>
      <c r="B491" s="316"/>
      <c r="C491" s="316"/>
      <c r="D491" s="316"/>
      <c r="E491" s="316"/>
      <c r="F491" s="316"/>
      <c r="G491" s="316"/>
      <c r="H491" s="316"/>
      <c r="I491" s="316"/>
      <c r="J491" s="316"/>
      <c r="K491" s="316"/>
    </row>
    <row r="492" spans="1:11" hidden="1" x14ac:dyDescent="0.2">
      <c r="A492" s="316"/>
      <c r="B492" s="316"/>
      <c r="C492" s="316"/>
      <c r="D492" s="316"/>
      <c r="E492" s="316"/>
      <c r="F492" s="316"/>
      <c r="G492" s="316"/>
      <c r="H492" s="316"/>
      <c r="I492" s="316"/>
      <c r="J492" s="316"/>
      <c r="K492" s="316"/>
    </row>
    <row r="493" spans="1:11" hidden="1" x14ac:dyDescent="0.2">
      <c r="A493" s="316"/>
      <c r="B493" s="316"/>
      <c r="C493" s="316"/>
      <c r="D493" s="316"/>
      <c r="E493" s="316"/>
      <c r="F493" s="316"/>
      <c r="G493" s="316"/>
      <c r="H493" s="316"/>
      <c r="I493" s="316"/>
      <c r="J493" s="316"/>
      <c r="K493" s="316"/>
    </row>
    <row r="494" spans="1:11" hidden="1" x14ac:dyDescent="0.2">
      <c r="A494" s="316"/>
      <c r="B494" s="316"/>
      <c r="C494" s="316"/>
      <c r="D494" s="316"/>
      <c r="E494" s="316"/>
      <c r="F494" s="316"/>
      <c r="G494" s="316"/>
      <c r="H494" s="316"/>
      <c r="I494" s="316"/>
      <c r="J494" s="316"/>
      <c r="K494" s="316"/>
    </row>
    <row r="495" spans="1:11" hidden="1" x14ac:dyDescent="0.2">
      <c r="A495" s="316"/>
      <c r="B495" s="316"/>
      <c r="C495" s="316"/>
      <c r="D495" s="316"/>
      <c r="E495" s="316"/>
      <c r="F495" s="316"/>
      <c r="G495" s="316"/>
      <c r="H495" s="316"/>
      <c r="I495" s="316"/>
      <c r="J495" s="316"/>
      <c r="K495" s="316"/>
    </row>
    <row r="496" spans="1:11" hidden="1" x14ac:dyDescent="0.2">
      <c r="A496" s="316"/>
      <c r="B496" s="316"/>
      <c r="C496" s="316"/>
      <c r="D496" s="316"/>
      <c r="E496" s="316"/>
      <c r="F496" s="316"/>
      <c r="G496" s="316"/>
      <c r="H496" s="316"/>
      <c r="I496" s="316"/>
      <c r="J496" s="316"/>
      <c r="K496" s="316"/>
    </row>
    <row r="497" spans="1:11" hidden="1" x14ac:dyDescent="0.2">
      <c r="A497" s="316"/>
      <c r="B497" s="316"/>
      <c r="C497" s="316"/>
      <c r="D497" s="316"/>
      <c r="E497" s="316"/>
      <c r="F497" s="316"/>
      <c r="G497" s="316"/>
      <c r="H497" s="316"/>
      <c r="I497" s="316"/>
      <c r="J497" s="316"/>
      <c r="K497" s="316"/>
    </row>
    <row r="498" spans="1:11" hidden="1" x14ac:dyDescent="0.2">
      <c r="A498" s="316"/>
      <c r="B498" s="316"/>
      <c r="C498" s="316"/>
      <c r="D498" s="316"/>
      <c r="E498" s="316"/>
      <c r="F498" s="316"/>
      <c r="G498" s="316"/>
      <c r="H498" s="316"/>
      <c r="I498" s="316"/>
      <c r="J498" s="316"/>
      <c r="K498" s="316"/>
    </row>
    <row r="499" spans="1:11" hidden="1" x14ac:dyDescent="0.2">
      <c r="A499" s="316"/>
      <c r="B499" s="316"/>
      <c r="C499" s="316"/>
      <c r="D499" s="316"/>
      <c r="E499" s="316"/>
      <c r="F499" s="316"/>
      <c r="G499" s="316"/>
      <c r="H499" s="316"/>
      <c r="I499" s="316"/>
      <c r="J499" s="316"/>
      <c r="K499" s="316"/>
    </row>
    <row r="500" spans="1:11" hidden="1" x14ac:dyDescent="0.2">
      <c r="A500" s="316"/>
      <c r="B500" s="316"/>
      <c r="C500" s="316"/>
      <c r="D500" s="316"/>
      <c r="E500" s="316"/>
      <c r="F500" s="316"/>
      <c r="G500" s="316"/>
      <c r="H500" s="316"/>
      <c r="I500" s="316"/>
      <c r="J500" s="316"/>
      <c r="K500" s="316"/>
    </row>
    <row r="501" spans="1:11" hidden="1" x14ac:dyDescent="0.2">
      <c r="A501" s="316"/>
      <c r="B501" s="316"/>
      <c r="C501" s="316"/>
      <c r="D501" s="316"/>
      <c r="E501" s="316"/>
      <c r="F501" s="316"/>
      <c r="G501" s="316"/>
      <c r="H501" s="316"/>
      <c r="I501" s="316"/>
      <c r="J501" s="316"/>
      <c r="K501" s="316"/>
    </row>
    <row r="502" spans="1:11" hidden="1" x14ac:dyDescent="0.2">
      <c r="A502" s="316"/>
      <c r="B502" s="316"/>
      <c r="C502" s="316"/>
      <c r="D502" s="316"/>
      <c r="E502" s="316"/>
      <c r="F502" s="316"/>
      <c r="G502" s="316"/>
      <c r="H502" s="316"/>
      <c r="I502" s="316"/>
      <c r="J502" s="316"/>
      <c r="K502" s="316"/>
    </row>
    <row r="503" spans="1:11" hidden="1" x14ac:dyDescent="0.2">
      <c r="A503" s="316"/>
      <c r="B503" s="316"/>
      <c r="C503" s="316"/>
      <c r="D503" s="316"/>
      <c r="E503" s="316"/>
      <c r="F503" s="316"/>
      <c r="G503" s="316"/>
      <c r="H503" s="316"/>
      <c r="I503" s="316"/>
      <c r="J503" s="316"/>
      <c r="K503" s="316"/>
    </row>
    <row r="504" spans="1:11" hidden="1" x14ac:dyDescent="0.2">
      <c r="A504" s="316"/>
      <c r="B504" s="316"/>
      <c r="C504" s="316"/>
      <c r="D504" s="316"/>
      <c r="E504" s="316"/>
      <c r="F504" s="316"/>
      <c r="G504" s="316"/>
      <c r="H504" s="316"/>
      <c r="I504" s="316"/>
      <c r="J504" s="316"/>
      <c r="K504" s="316"/>
    </row>
    <row r="505" spans="1:11" hidden="1" x14ac:dyDescent="0.2">
      <c r="A505" s="316"/>
      <c r="B505" s="316"/>
      <c r="C505" s="316"/>
      <c r="D505" s="316"/>
      <c r="E505" s="316"/>
      <c r="F505" s="316"/>
      <c r="G505" s="316"/>
      <c r="H505" s="316"/>
      <c r="I505" s="316"/>
      <c r="J505" s="316"/>
      <c r="K505" s="316"/>
    </row>
    <row r="506" spans="1:11" hidden="1" x14ac:dyDescent="0.2">
      <c r="A506" s="316"/>
      <c r="B506" s="316"/>
      <c r="C506" s="316"/>
      <c r="D506" s="316"/>
      <c r="E506" s="316"/>
      <c r="F506" s="316"/>
      <c r="G506" s="316"/>
      <c r="H506" s="316"/>
      <c r="I506" s="316"/>
      <c r="J506" s="316"/>
      <c r="K506" s="316"/>
    </row>
    <row r="507" spans="1:11" hidden="1" x14ac:dyDescent="0.2">
      <c r="A507" s="316"/>
      <c r="B507" s="316"/>
      <c r="C507" s="316"/>
      <c r="D507" s="316"/>
      <c r="E507" s="316"/>
      <c r="F507" s="316"/>
      <c r="G507" s="316"/>
      <c r="H507" s="316"/>
      <c r="I507" s="316"/>
      <c r="J507" s="316"/>
      <c r="K507" s="316"/>
    </row>
    <row r="508" spans="1:11" hidden="1" x14ac:dyDescent="0.2">
      <c r="A508" s="316"/>
      <c r="B508" s="316"/>
      <c r="C508" s="316"/>
      <c r="D508" s="316"/>
      <c r="E508" s="316"/>
      <c r="F508" s="316"/>
      <c r="G508" s="316"/>
      <c r="H508" s="316"/>
      <c r="I508" s="316"/>
      <c r="J508" s="316"/>
      <c r="K508" s="316"/>
    </row>
    <row r="509" spans="1:11" hidden="1" x14ac:dyDescent="0.2">
      <c r="A509" s="316"/>
      <c r="B509" s="316"/>
      <c r="C509" s="316"/>
      <c r="D509" s="316"/>
      <c r="E509" s="316"/>
      <c r="F509" s="316"/>
      <c r="G509" s="316"/>
      <c r="H509" s="316"/>
      <c r="I509" s="316"/>
      <c r="J509" s="316"/>
      <c r="K509" s="316"/>
    </row>
    <row r="510" spans="1:11" hidden="1" x14ac:dyDescent="0.2">
      <c r="A510" s="316"/>
      <c r="B510" s="316"/>
      <c r="C510" s="316"/>
      <c r="D510" s="316"/>
      <c r="E510" s="316"/>
      <c r="F510" s="316"/>
      <c r="G510" s="316"/>
      <c r="H510" s="316"/>
      <c r="I510" s="316"/>
      <c r="J510" s="316"/>
      <c r="K510" s="316"/>
    </row>
    <row r="511" spans="1:11" hidden="1" x14ac:dyDescent="0.2">
      <c r="A511" s="316"/>
      <c r="B511" s="316"/>
      <c r="C511" s="316"/>
      <c r="D511" s="316"/>
      <c r="E511" s="316"/>
      <c r="F511" s="316"/>
      <c r="G511" s="316"/>
      <c r="H511" s="316"/>
      <c r="I511" s="316"/>
      <c r="J511" s="316"/>
      <c r="K511" s="316"/>
    </row>
    <row r="512" spans="1:11" hidden="1" x14ac:dyDescent="0.2">
      <c r="A512" s="316"/>
      <c r="B512" s="316"/>
      <c r="C512" s="316"/>
      <c r="D512" s="316"/>
      <c r="E512" s="316"/>
      <c r="F512" s="316"/>
      <c r="G512" s="316"/>
      <c r="H512" s="316"/>
      <c r="I512" s="316"/>
      <c r="J512" s="316"/>
      <c r="K512" s="316"/>
    </row>
    <row r="513" spans="1:11" hidden="1" x14ac:dyDescent="0.2">
      <c r="A513" s="316"/>
      <c r="B513" s="316"/>
      <c r="C513" s="316"/>
      <c r="D513" s="316"/>
      <c r="E513" s="316"/>
      <c r="F513" s="316"/>
      <c r="G513" s="316"/>
      <c r="H513" s="316"/>
      <c r="I513" s="316"/>
      <c r="J513" s="316"/>
      <c r="K513" s="316"/>
    </row>
    <row r="514" spans="1:11" hidden="1" x14ac:dyDescent="0.2">
      <c r="A514" s="316"/>
      <c r="B514" s="316"/>
      <c r="C514" s="316"/>
      <c r="D514" s="316"/>
      <c r="E514" s="316"/>
      <c r="F514" s="316"/>
      <c r="G514" s="316"/>
      <c r="H514" s="316"/>
      <c r="I514" s="316"/>
      <c r="J514" s="316"/>
      <c r="K514" s="316"/>
    </row>
    <row r="515" spans="1:11" hidden="1" x14ac:dyDescent="0.2">
      <c r="A515" s="316"/>
      <c r="B515" s="316"/>
      <c r="C515" s="316"/>
      <c r="D515" s="316"/>
      <c r="E515" s="316"/>
      <c r="F515" s="316"/>
      <c r="G515" s="316"/>
      <c r="H515" s="316"/>
      <c r="I515" s="316"/>
      <c r="J515" s="316"/>
      <c r="K515" s="316"/>
    </row>
    <row r="516" spans="1:11" hidden="1" x14ac:dyDescent="0.2">
      <c r="A516" s="316"/>
      <c r="B516" s="316"/>
      <c r="C516" s="316"/>
      <c r="D516" s="316"/>
      <c r="E516" s="316"/>
      <c r="F516" s="316"/>
      <c r="G516" s="316"/>
      <c r="H516" s="316"/>
      <c r="I516" s="316"/>
      <c r="J516" s="316"/>
      <c r="K516" s="316"/>
    </row>
    <row r="517" spans="1:11" hidden="1" x14ac:dyDescent="0.2">
      <c r="A517" s="316"/>
      <c r="B517" s="316"/>
      <c r="C517" s="316"/>
      <c r="D517" s="316"/>
      <c r="E517" s="316"/>
      <c r="F517" s="316"/>
      <c r="G517" s="316"/>
      <c r="H517" s="316"/>
      <c r="I517" s="316"/>
      <c r="J517" s="316"/>
      <c r="K517" s="316"/>
    </row>
    <row r="518" spans="1:11" hidden="1" x14ac:dyDescent="0.2">
      <c r="A518" s="316"/>
      <c r="B518" s="316"/>
      <c r="C518" s="316"/>
      <c r="D518" s="316"/>
      <c r="E518" s="316"/>
      <c r="F518" s="316"/>
      <c r="G518" s="316"/>
      <c r="H518" s="316"/>
      <c r="I518" s="316"/>
      <c r="J518" s="316"/>
      <c r="K518" s="316"/>
    </row>
    <row r="519" spans="1:11" hidden="1" x14ac:dyDescent="0.2">
      <c r="A519" s="316"/>
      <c r="B519" s="316"/>
      <c r="C519" s="316"/>
      <c r="D519" s="316"/>
      <c r="E519" s="316"/>
      <c r="F519" s="316"/>
      <c r="G519" s="316"/>
      <c r="H519" s="316"/>
      <c r="I519" s="316"/>
      <c r="J519" s="316"/>
      <c r="K519" s="316"/>
    </row>
    <row r="520" spans="1:11" hidden="1" x14ac:dyDescent="0.2">
      <c r="A520" s="316"/>
      <c r="B520" s="316"/>
      <c r="C520" s="316"/>
      <c r="D520" s="316"/>
      <c r="E520" s="316"/>
      <c r="F520" s="316"/>
      <c r="G520" s="316"/>
      <c r="H520" s="316"/>
      <c r="I520" s="316"/>
      <c r="J520" s="316"/>
      <c r="K520" s="316"/>
    </row>
    <row r="521" spans="1:11" hidden="1" x14ac:dyDescent="0.2">
      <c r="A521" s="316"/>
      <c r="B521" s="316"/>
      <c r="C521" s="316"/>
      <c r="D521" s="316"/>
      <c r="E521" s="316"/>
      <c r="F521" s="316"/>
      <c r="G521" s="316"/>
      <c r="H521" s="316"/>
      <c r="I521" s="316"/>
      <c r="J521" s="316"/>
      <c r="K521" s="316"/>
    </row>
    <row r="522" spans="1:11" hidden="1" x14ac:dyDescent="0.2">
      <c r="A522" s="316"/>
      <c r="B522" s="316"/>
      <c r="C522" s="316"/>
      <c r="D522" s="316"/>
      <c r="E522" s="316"/>
      <c r="F522" s="316"/>
      <c r="G522" s="316"/>
      <c r="H522" s="316"/>
      <c r="I522" s="316"/>
      <c r="J522" s="316"/>
      <c r="K522" s="316"/>
    </row>
    <row r="523" spans="1:11" hidden="1" x14ac:dyDescent="0.2">
      <c r="A523" s="316"/>
      <c r="B523" s="316"/>
      <c r="C523" s="316"/>
      <c r="D523" s="316"/>
      <c r="E523" s="316"/>
      <c r="F523" s="316"/>
      <c r="G523" s="316"/>
      <c r="H523" s="316"/>
      <c r="I523" s="316"/>
      <c r="J523" s="316"/>
      <c r="K523" s="316"/>
    </row>
    <row r="524" spans="1:11" hidden="1" x14ac:dyDescent="0.2">
      <c r="A524" s="316"/>
      <c r="B524" s="316"/>
      <c r="C524" s="316"/>
      <c r="D524" s="316"/>
      <c r="E524" s="316"/>
      <c r="F524" s="316"/>
      <c r="G524" s="316"/>
      <c r="H524" s="316"/>
      <c r="I524" s="316"/>
      <c r="J524" s="316"/>
      <c r="K524" s="316"/>
    </row>
    <row r="525" spans="1:11" hidden="1" x14ac:dyDescent="0.2">
      <c r="A525" s="316"/>
      <c r="B525" s="316"/>
      <c r="C525" s="316"/>
      <c r="D525" s="316"/>
      <c r="E525" s="316"/>
      <c r="F525" s="316"/>
      <c r="G525" s="316"/>
      <c r="H525" s="316"/>
      <c r="I525" s="316"/>
      <c r="J525" s="316"/>
      <c r="K525" s="316"/>
    </row>
    <row r="526" spans="1:11" hidden="1" x14ac:dyDescent="0.2">
      <c r="A526" s="316"/>
      <c r="B526" s="316"/>
      <c r="C526" s="316"/>
      <c r="D526" s="316"/>
      <c r="E526" s="316"/>
      <c r="F526" s="316"/>
      <c r="G526" s="316"/>
      <c r="H526" s="316"/>
      <c r="I526" s="316"/>
      <c r="J526" s="316"/>
      <c r="K526" s="316"/>
    </row>
    <row r="527" spans="1:11" hidden="1" x14ac:dyDescent="0.2">
      <c r="A527" s="316"/>
      <c r="B527" s="316"/>
      <c r="C527" s="316"/>
      <c r="D527" s="316"/>
      <c r="E527" s="316"/>
      <c r="F527" s="316"/>
      <c r="G527" s="316"/>
      <c r="H527" s="316"/>
      <c r="I527" s="316"/>
      <c r="J527" s="316"/>
      <c r="K527" s="316"/>
    </row>
    <row r="528" spans="1:11" hidden="1" x14ac:dyDescent="0.2">
      <c r="A528" s="316"/>
      <c r="B528" s="316"/>
      <c r="C528" s="316"/>
      <c r="D528" s="316"/>
      <c r="E528" s="316"/>
      <c r="F528" s="316"/>
      <c r="G528" s="316"/>
      <c r="H528" s="316"/>
      <c r="I528" s="316"/>
      <c r="J528" s="316"/>
      <c r="K528" s="316"/>
    </row>
    <row r="529" spans="1:11" hidden="1" x14ac:dyDescent="0.2">
      <c r="A529" s="316"/>
      <c r="B529" s="316"/>
      <c r="C529" s="316"/>
      <c r="D529" s="316"/>
      <c r="E529" s="316"/>
      <c r="F529" s="316"/>
      <c r="G529" s="316"/>
      <c r="H529" s="316"/>
      <c r="I529" s="316"/>
      <c r="J529" s="316"/>
      <c r="K529" s="316"/>
    </row>
    <row r="530" spans="1:11" hidden="1" x14ac:dyDescent="0.2">
      <c r="A530" s="316"/>
      <c r="B530" s="316"/>
      <c r="C530" s="316"/>
      <c r="D530" s="316"/>
      <c r="E530" s="316"/>
      <c r="F530" s="316"/>
      <c r="G530" s="316"/>
      <c r="H530" s="316"/>
      <c r="I530" s="316"/>
      <c r="J530" s="316"/>
      <c r="K530" s="316"/>
    </row>
    <row r="531" spans="1:11" hidden="1" x14ac:dyDescent="0.2">
      <c r="A531" s="316"/>
      <c r="B531" s="316"/>
      <c r="C531" s="316"/>
      <c r="D531" s="316"/>
      <c r="E531" s="316"/>
      <c r="F531" s="316"/>
      <c r="G531" s="316"/>
      <c r="H531" s="316"/>
      <c r="I531" s="316"/>
      <c r="J531" s="316"/>
      <c r="K531" s="316"/>
    </row>
    <row r="532" spans="1:11" hidden="1" x14ac:dyDescent="0.2">
      <c r="A532" s="316"/>
      <c r="B532" s="316"/>
      <c r="C532" s="316"/>
      <c r="D532" s="316"/>
      <c r="E532" s="316"/>
      <c r="F532" s="316"/>
      <c r="G532" s="316"/>
      <c r="H532" s="316"/>
      <c r="I532" s="316"/>
      <c r="J532" s="316"/>
      <c r="K532" s="316"/>
    </row>
    <row r="533" spans="1:11" hidden="1" x14ac:dyDescent="0.2">
      <c r="A533" s="316"/>
      <c r="B533" s="316"/>
      <c r="C533" s="316"/>
      <c r="D533" s="316"/>
      <c r="E533" s="316"/>
      <c r="F533" s="316"/>
      <c r="G533" s="316"/>
      <c r="H533" s="316"/>
      <c r="I533" s="316"/>
      <c r="J533" s="316"/>
      <c r="K533" s="316"/>
    </row>
    <row r="534" spans="1:11" hidden="1" x14ac:dyDescent="0.2">
      <c r="A534" s="316"/>
      <c r="B534" s="316"/>
      <c r="C534" s="316"/>
      <c r="D534" s="316"/>
      <c r="E534" s="316"/>
      <c r="F534" s="316"/>
      <c r="G534" s="316"/>
      <c r="H534" s="316"/>
      <c r="I534" s="316"/>
      <c r="J534" s="316"/>
      <c r="K534" s="316"/>
    </row>
    <row r="535" spans="1:11" hidden="1" x14ac:dyDescent="0.2">
      <c r="A535" s="316"/>
      <c r="B535" s="316"/>
      <c r="C535" s="316"/>
      <c r="D535" s="316"/>
      <c r="E535" s="316"/>
      <c r="F535" s="316"/>
      <c r="G535" s="316"/>
      <c r="H535" s="316"/>
      <c r="I535" s="316"/>
      <c r="J535" s="316"/>
      <c r="K535" s="316"/>
    </row>
    <row r="536" spans="1:11" hidden="1" x14ac:dyDescent="0.2">
      <c r="A536" s="316"/>
      <c r="B536" s="316"/>
      <c r="C536" s="316"/>
      <c r="D536" s="316"/>
      <c r="E536" s="316"/>
      <c r="F536" s="316"/>
      <c r="G536" s="316"/>
      <c r="H536" s="316"/>
      <c r="I536" s="316"/>
      <c r="J536" s="316"/>
      <c r="K536" s="316"/>
    </row>
    <row r="537" spans="1:11" hidden="1" x14ac:dyDescent="0.2">
      <c r="A537" s="316"/>
      <c r="B537" s="316"/>
      <c r="C537" s="316"/>
      <c r="D537" s="316"/>
      <c r="E537" s="316"/>
      <c r="F537" s="316"/>
      <c r="G537" s="316"/>
      <c r="H537" s="316"/>
      <c r="I537" s="316"/>
      <c r="J537" s="316"/>
      <c r="K537" s="316"/>
    </row>
    <row r="538" spans="1:11" hidden="1" x14ac:dyDescent="0.2">
      <c r="A538" s="316"/>
      <c r="B538" s="316"/>
      <c r="C538" s="316"/>
      <c r="D538" s="316"/>
      <c r="E538" s="316"/>
      <c r="F538" s="316"/>
      <c r="G538" s="316"/>
      <c r="H538" s="316"/>
      <c r="I538" s="316"/>
      <c r="J538" s="316"/>
      <c r="K538" s="316"/>
    </row>
    <row r="539" spans="1:11" hidden="1" x14ac:dyDescent="0.2">
      <c r="A539" s="316"/>
      <c r="B539" s="316"/>
      <c r="C539" s="316"/>
      <c r="D539" s="316"/>
      <c r="E539" s="316"/>
      <c r="F539" s="316"/>
      <c r="G539" s="316"/>
      <c r="H539" s="316"/>
      <c r="I539" s="316"/>
      <c r="J539" s="316"/>
      <c r="K539" s="316"/>
    </row>
    <row r="540" spans="1:11" hidden="1" x14ac:dyDescent="0.2">
      <c r="A540" s="316"/>
      <c r="B540" s="316"/>
      <c r="C540" s="316"/>
      <c r="D540" s="316"/>
      <c r="E540" s="316"/>
      <c r="F540" s="316"/>
      <c r="G540" s="316"/>
      <c r="H540" s="316"/>
      <c r="I540" s="316"/>
      <c r="J540" s="316"/>
      <c r="K540" s="316"/>
    </row>
    <row r="541" spans="1:11" hidden="1" x14ac:dyDescent="0.2">
      <c r="A541" s="316"/>
      <c r="B541" s="316"/>
      <c r="C541" s="316"/>
      <c r="D541" s="316"/>
      <c r="E541" s="316"/>
      <c r="F541" s="316"/>
      <c r="G541" s="316"/>
      <c r="H541" s="316"/>
      <c r="I541" s="316"/>
      <c r="J541" s="316"/>
      <c r="K541" s="316"/>
    </row>
    <row r="542" spans="1:11" hidden="1" x14ac:dyDescent="0.2">
      <c r="A542" s="316"/>
      <c r="B542" s="316"/>
      <c r="C542" s="316"/>
      <c r="D542" s="316"/>
      <c r="E542" s="316"/>
      <c r="F542" s="316"/>
      <c r="G542" s="316"/>
      <c r="H542" s="316"/>
      <c r="I542" s="316"/>
      <c r="J542" s="316"/>
      <c r="K542" s="316"/>
    </row>
    <row r="543" spans="1:11" hidden="1" x14ac:dyDescent="0.2">
      <c r="A543" s="316"/>
      <c r="B543" s="316"/>
      <c r="C543" s="316"/>
      <c r="D543" s="316"/>
      <c r="E543" s="316"/>
      <c r="F543" s="316"/>
      <c r="G543" s="316"/>
      <c r="H543" s="316"/>
      <c r="I543" s="316"/>
      <c r="J543" s="316"/>
      <c r="K543" s="316"/>
    </row>
    <row r="544" spans="1:11" hidden="1" x14ac:dyDescent="0.2">
      <c r="A544" s="316"/>
      <c r="B544" s="316"/>
      <c r="C544" s="316"/>
      <c r="D544" s="316"/>
      <c r="E544" s="316"/>
      <c r="F544" s="316"/>
      <c r="G544" s="316"/>
      <c r="H544" s="316"/>
      <c r="I544" s="316"/>
      <c r="J544" s="316"/>
      <c r="K544" s="316"/>
    </row>
    <row r="545" spans="1:11" hidden="1" x14ac:dyDescent="0.2">
      <c r="A545" s="316"/>
      <c r="B545" s="316"/>
      <c r="C545" s="316"/>
      <c r="D545" s="316"/>
      <c r="E545" s="316"/>
      <c r="F545" s="316"/>
      <c r="G545" s="316"/>
      <c r="H545" s="316"/>
      <c r="I545" s="316"/>
      <c r="J545" s="316"/>
      <c r="K545" s="316"/>
    </row>
    <row r="546" spans="1:11" hidden="1" x14ac:dyDescent="0.2">
      <c r="A546" s="316"/>
      <c r="B546" s="316"/>
      <c r="C546" s="316"/>
      <c r="D546" s="316"/>
      <c r="E546" s="316"/>
      <c r="F546" s="316"/>
      <c r="G546" s="316"/>
      <c r="H546" s="316"/>
      <c r="I546" s="316"/>
      <c r="J546" s="316"/>
      <c r="K546" s="316"/>
    </row>
    <row r="547" spans="1:11" hidden="1" x14ac:dyDescent="0.2">
      <c r="A547" s="316"/>
      <c r="B547" s="316"/>
      <c r="C547" s="316"/>
      <c r="D547" s="316"/>
      <c r="E547" s="316"/>
      <c r="F547" s="316"/>
      <c r="G547" s="316"/>
      <c r="H547" s="316"/>
      <c r="I547" s="316"/>
      <c r="J547" s="316"/>
      <c r="K547" s="316"/>
    </row>
    <row r="548" spans="1:11" hidden="1" x14ac:dyDescent="0.2">
      <c r="A548" s="316"/>
      <c r="B548" s="316"/>
      <c r="C548" s="316"/>
      <c r="D548" s="316"/>
      <c r="E548" s="316"/>
      <c r="F548" s="316"/>
      <c r="G548" s="316"/>
      <c r="H548" s="316"/>
      <c r="I548" s="316"/>
      <c r="J548" s="316"/>
      <c r="K548" s="316"/>
    </row>
    <row r="549" spans="1:11" hidden="1" x14ac:dyDescent="0.2">
      <c r="A549" s="316"/>
      <c r="B549" s="316"/>
      <c r="C549" s="316"/>
      <c r="D549" s="316"/>
      <c r="E549" s="316"/>
      <c r="F549" s="316"/>
      <c r="G549" s="316"/>
      <c r="H549" s="316"/>
      <c r="I549" s="316"/>
      <c r="J549" s="316"/>
      <c r="K549" s="316"/>
    </row>
    <row r="550" spans="1:11" hidden="1" x14ac:dyDescent="0.2">
      <c r="A550" s="316"/>
      <c r="B550" s="316"/>
      <c r="C550" s="316"/>
      <c r="D550" s="316"/>
      <c r="E550" s="316"/>
      <c r="F550" s="316"/>
      <c r="G550" s="316"/>
      <c r="H550" s="316"/>
      <c r="I550" s="316"/>
      <c r="J550" s="316"/>
      <c r="K550" s="316"/>
    </row>
    <row r="551" spans="1:11" hidden="1" x14ac:dyDescent="0.2">
      <c r="A551" s="316"/>
      <c r="B551" s="316"/>
      <c r="C551" s="316"/>
      <c r="D551" s="316"/>
      <c r="E551" s="316"/>
      <c r="F551" s="316"/>
      <c r="G551" s="316"/>
      <c r="H551" s="316"/>
      <c r="I551" s="316"/>
      <c r="J551" s="316"/>
      <c r="K551" s="316"/>
    </row>
    <row r="552" spans="1:11" hidden="1" x14ac:dyDescent="0.2">
      <c r="A552" s="316"/>
      <c r="B552" s="316"/>
      <c r="C552" s="316"/>
      <c r="D552" s="316"/>
      <c r="E552" s="316"/>
      <c r="F552" s="316"/>
      <c r="G552" s="316"/>
      <c r="H552" s="316"/>
      <c r="I552" s="316"/>
      <c r="J552" s="316"/>
      <c r="K552" s="316"/>
    </row>
    <row r="553" spans="1:11" hidden="1" x14ac:dyDescent="0.2">
      <c r="A553" s="316"/>
      <c r="B553" s="316"/>
      <c r="C553" s="316"/>
      <c r="D553" s="316"/>
      <c r="E553" s="316"/>
      <c r="F553" s="316"/>
      <c r="G553" s="316"/>
      <c r="H553" s="316"/>
      <c r="I553" s="316"/>
      <c r="J553" s="316"/>
      <c r="K553" s="316"/>
    </row>
    <row r="554" spans="1:11" hidden="1" x14ac:dyDescent="0.2">
      <c r="A554" s="316"/>
      <c r="B554" s="316"/>
      <c r="C554" s="316"/>
      <c r="D554" s="316"/>
      <c r="E554" s="316"/>
      <c r="F554" s="316"/>
      <c r="G554" s="316"/>
      <c r="H554" s="316"/>
      <c r="I554" s="316"/>
      <c r="J554" s="316"/>
      <c r="K554" s="316"/>
    </row>
    <row r="555" spans="1:11" hidden="1" x14ac:dyDescent="0.2">
      <c r="A555" s="316"/>
      <c r="B555" s="316"/>
      <c r="C555" s="316"/>
      <c r="D555" s="316"/>
      <c r="E555" s="316"/>
      <c r="F555" s="316"/>
      <c r="G555" s="316"/>
      <c r="H555" s="316"/>
      <c r="I555" s="316"/>
      <c r="J555" s="316"/>
      <c r="K555" s="316"/>
    </row>
    <row r="556" spans="1:11" hidden="1" x14ac:dyDescent="0.2">
      <c r="A556" s="316"/>
      <c r="B556" s="316"/>
      <c r="C556" s="316"/>
      <c r="D556" s="316"/>
      <c r="E556" s="316"/>
      <c r="F556" s="316"/>
      <c r="G556" s="316"/>
      <c r="H556" s="316"/>
      <c r="I556" s="316"/>
      <c r="J556" s="316"/>
      <c r="K556" s="316"/>
    </row>
    <row r="557" spans="1:11" hidden="1" x14ac:dyDescent="0.2">
      <c r="A557" s="316"/>
      <c r="B557" s="316"/>
      <c r="C557" s="316"/>
      <c r="D557" s="316"/>
      <c r="E557" s="316"/>
      <c r="F557" s="316"/>
      <c r="G557" s="316"/>
      <c r="H557" s="316"/>
      <c r="I557" s="316"/>
      <c r="J557" s="316"/>
      <c r="K557" s="316"/>
    </row>
    <row r="558" spans="1:11" hidden="1" x14ac:dyDescent="0.2">
      <c r="A558" s="316"/>
      <c r="B558" s="316"/>
      <c r="C558" s="316"/>
      <c r="D558" s="316"/>
      <c r="E558" s="316"/>
      <c r="F558" s="316"/>
      <c r="G558" s="316"/>
      <c r="H558" s="316"/>
      <c r="I558" s="316"/>
      <c r="J558" s="316"/>
      <c r="K558" s="316"/>
    </row>
    <row r="559" spans="1:11" hidden="1" x14ac:dyDescent="0.2">
      <c r="A559" s="316"/>
      <c r="B559" s="316"/>
      <c r="C559" s="316"/>
      <c r="D559" s="316"/>
      <c r="E559" s="316"/>
      <c r="F559" s="316"/>
      <c r="G559" s="316"/>
      <c r="H559" s="316"/>
      <c r="I559" s="316"/>
      <c r="J559" s="316"/>
      <c r="K559" s="316"/>
    </row>
    <row r="560" spans="1:11" hidden="1" x14ac:dyDescent="0.2">
      <c r="A560" s="316"/>
      <c r="B560" s="316"/>
      <c r="C560" s="316"/>
      <c r="D560" s="316"/>
      <c r="E560" s="316"/>
      <c r="F560" s="316"/>
      <c r="G560" s="316"/>
      <c r="H560" s="316"/>
      <c r="I560" s="316"/>
      <c r="J560" s="316"/>
      <c r="K560" s="316"/>
    </row>
    <row r="561" spans="1:11" hidden="1" x14ac:dyDescent="0.2">
      <c r="A561" s="316"/>
      <c r="B561" s="316"/>
      <c r="C561" s="316"/>
      <c r="D561" s="316"/>
      <c r="E561" s="316"/>
      <c r="F561" s="316"/>
      <c r="G561" s="316"/>
      <c r="H561" s="316"/>
      <c r="I561" s="316"/>
      <c r="J561" s="316"/>
      <c r="K561" s="316"/>
    </row>
    <row r="562" spans="1:11" hidden="1" x14ac:dyDescent="0.2">
      <c r="A562" s="316"/>
      <c r="B562" s="316"/>
      <c r="C562" s="316"/>
      <c r="D562" s="316"/>
      <c r="E562" s="316"/>
      <c r="F562" s="316"/>
      <c r="G562" s="316"/>
      <c r="H562" s="316"/>
      <c r="I562" s="316"/>
      <c r="J562" s="316"/>
      <c r="K562" s="316"/>
    </row>
    <row r="563" spans="1:11" hidden="1" x14ac:dyDescent="0.2">
      <c r="A563" s="316"/>
      <c r="B563" s="316"/>
      <c r="C563" s="316"/>
      <c r="D563" s="316"/>
      <c r="E563" s="316"/>
      <c r="F563" s="316"/>
      <c r="G563" s="316"/>
      <c r="H563" s="316"/>
      <c r="I563" s="316"/>
      <c r="J563" s="316"/>
      <c r="K563" s="316"/>
    </row>
    <row r="564" spans="1:11" hidden="1" x14ac:dyDescent="0.2">
      <c r="A564" s="316"/>
      <c r="B564" s="316"/>
      <c r="C564" s="316"/>
      <c r="D564" s="316"/>
      <c r="E564" s="316"/>
      <c r="F564" s="316"/>
      <c r="G564" s="316"/>
      <c r="H564" s="316"/>
      <c r="I564" s="316"/>
      <c r="J564" s="316"/>
      <c r="K564" s="316"/>
    </row>
    <row r="565" spans="1:11" hidden="1" x14ac:dyDescent="0.2">
      <c r="A565" s="316"/>
      <c r="B565" s="316"/>
      <c r="C565" s="316"/>
      <c r="D565" s="316"/>
      <c r="E565" s="316"/>
      <c r="F565" s="316"/>
      <c r="G565" s="316"/>
      <c r="H565" s="316"/>
      <c r="I565" s="316"/>
      <c r="J565" s="316"/>
      <c r="K565" s="316"/>
    </row>
    <row r="566" spans="1:11" hidden="1" x14ac:dyDescent="0.2">
      <c r="A566" s="316"/>
      <c r="B566" s="316"/>
      <c r="C566" s="316"/>
      <c r="D566" s="316"/>
      <c r="E566" s="316"/>
      <c r="F566" s="316"/>
      <c r="G566" s="316"/>
      <c r="H566" s="316"/>
      <c r="I566" s="316"/>
      <c r="J566" s="316"/>
      <c r="K566" s="316"/>
    </row>
    <row r="567" spans="1:11" hidden="1" x14ac:dyDescent="0.2">
      <c r="A567" s="316"/>
      <c r="B567" s="316"/>
      <c r="C567" s="316"/>
      <c r="D567" s="316"/>
      <c r="E567" s="316"/>
      <c r="F567" s="316"/>
      <c r="G567" s="316"/>
      <c r="H567" s="316"/>
      <c r="I567" s="316"/>
      <c r="J567" s="316"/>
      <c r="K567" s="316"/>
    </row>
    <row r="568" spans="1:11" hidden="1" x14ac:dyDescent="0.2">
      <c r="A568" s="316"/>
      <c r="B568" s="316"/>
      <c r="C568" s="316"/>
      <c r="D568" s="316"/>
      <c r="E568" s="316"/>
      <c r="F568" s="316"/>
      <c r="G568" s="316"/>
      <c r="H568" s="316"/>
      <c r="I568" s="316"/>
      <c r="J568" s="316"/>
      <c r="K568" s="316"/>
    </row>
    <row r="569" spans="1:11" hidden="1" x14ac:dyDescent="0.2">
      <c r="A569" s="316"/>
      <c r="B569" s="316"/>
      <c r="C569" s="316"/>
      <c r="D569" s="316"/>
      <c r="E569" s="316"/>
      <c r="F569" s="316"/>
      <c r="G569" s="316"/>
      <c r="H569" s="316"/>
      <c r="I569" s="316"/>
      <c r="J569" s="316"/>
      <c r="K569" s="316"/>
    </row>
    <row r="570" spans="1:11" hidden="1" x14ac:dyDescent="0.2">
      <c r="A570" s="316"/>
      <c r="B570" s="316"/>
      <c r="C570" s="316"/>
      <c r="D570" s="316"/>
      <c r="E570" s="316"/>
      <c r="F570" s="316"/>
      <c r="G570" s="316"/>
      <c r="H570" s="316"/>
      <c r="I570" s="316"/>
      <c r="J570" s="316"/>
      <c r="K570" s="316"/>
    </row>
    <row r="571" spans="1:11" hidden="1" x14ac:dyDescent="0.2">
      <c r="A571" s="316"/>
      <c r="B571" s="316"/>
      <c r="C571" s="316"/>
      <c r="D571" s="316"/>
      <c r="E571" s="316"/>
      <c r="F571" s="316"/>
      <c r="G571" s="316"/>
      <c r="H571" s="316"/>
      <c r="I571" s="316"/>
      <c r="J571" s="316"/>
      <c r="K571" s="316"/>
    </row>
    <row r="572" spans="1:11" hidden="1" x14ac:dyDescent="0.2">
      <c r="A572" s="316"/>
      <c r="B572" s="316"/>
      <c r="C572" s="316"/>
      <c r="D572" s="316"/>
      <c r="E572" s="316"/>
      <c r="F572" s="316"/>
      <c r="G572" s="316"/>
      <c r="H572" s="316"/>
      <c r="I572" s="316"/>
      <c r="J572" s="316"/>
      <c r="K572" s="316"/>
    </row>
    <row r="573" spans="1:11" hidden="1" x14ac:dyDescent="0.2">
      <c r="A573" s="316"/>
      <c r="B573" s="316"/>
      <c r="C573" s="316"/>
      <c r="D573" s="316"/>
      <c r="E573" s="316"/>
      <c r="F573" s="316"/>
      <c r="G573" s="316"/>
      <c r="H573" s="316"/>
      <c r="I573" s="316"/>
      <c r="J573" s="316"/>
      <c r="K573" s="316"/>
    </row>
    <row r="574" spans="1:11" hidden="1" x14ac:dyDescent="0.2">
      <c r="A574" s="316"/>
      <c r="B574" s="316"/>
      <c r="C574" s="316"/>
      <c r="D574" s="316"/>
      <c r="E574" s="316"/>
      <c r="F574" s="316"/>
      <c r="G574" s="316"/>
      <c r="H574" s="316"/>
      <c r="I574" s="316"/>
      <c r="J574" s="316"/>
      <c r="K574" s="316"/>
    </row>
    <row r="575" spans="1:11" hidden="1" x14ac:dyDescent="0.2">
      <c r="A575" s="316"/>
      <c r="B575" s="316"/>
      <c r="C575" s="316"/>
      <c r="D575" s="316"/>
      <c r="E575" s="316"/>
      <c r="F575" s="316"/>
      <c r="G575" s="316"/>
      <c r="H575" s="316"/>
      <c r="I575" s="316"/>
      <c r="J575" s="316"/>
      <c r="K575" s="316"/>
    </row>
    <row r="576" spans="1:11" hidden="1" x14ac:dyDescent="0.2">
      <c r="A576" s="316"/>
      <c r="B576" s="316"/>
      <c r="C576" s="316"/>
      <c r="D576" s="316"/>
      <c r="E576" s="316"/>
      <c r="F576" s="316"/>
      <c r="G576" s="316"/>
      <c r="H576" s="316"/>
      <c r="I576" s="316"/>
      <c r="J576" s="316"/>
      <c r="K576" s="316"/>
    </row>
    <row r="577" spans="1:11" hidden="1" x14ac:dyDescent="0.2">
      <c r="A577" s="316"/>
      <c r="B577" s="316"/>
      <c r="C577" s="316"/>
      <c r="D577" s="316"/>
      <c r="E577" s="316"/>
      <c r="F577" s="316"/>
      <c r="G577" s="316"/>
      <c r="H577" s="316"/>
      <c r="I577" s="316"/>
      <c r="J577" s="316"/>
      <c r="K577" s="316"/>
    </row>
    <row r="578" spans="1:11" hidden="1" x14ac:dyDescent="0.2">
      <c r="A578" s="316"/>
      <c r="B578" s="316"/>
      <c r="C578" s="316"/>
      <c r="D578" s="316"/>
      <c r="E578" s="316"/>
      <c r="F578" s="316"/>
      <c r="G578" s="316"/>
      <c r="H578" s="316"/>
      <c r="I578" s="316"/>
      <c r="J578" s="316"/>
      <c r="K578" s="316"/>
    </row>
    <row r="579" spans="1:11" hidden="1" x14ac:dyDescent="0.2">
      <c r="A579" s="316"/>
      <c r="B579" s="316"/>
      <c r="C579" s="316"/>
      <c r="D579" s="316"/>
      <c r="E579" s="316"/>
      <c r="F579" s="316"/>
      <c r="G579" s="316"/>
      <c r="H579" s="316"/>
      <c r="I579" s="316"/>
      <c r="J579" s="316"/>
      <c r="K579" s="316"/>
    </row>
    <row r="580" spans="1:11" hidden="1" x14ac:dyDescent="0.2">
      <c r="A580" s="316"/>
      <c r="B580" s="316"/>
      <c r="C580" s="316"/>
      <c r="D580" s="316"/>
      <c r="E580" s="316"/>
      <c r="F580" s="316"/>
      <c r="G580" s="316"/>
      <c r="H580" s="316"/>
      <c r="I580" s="316"/>
      <c r="J580" s="316"/>
      <c r="K580" s="316"/>
    </row>
    <row r="581" spans="1:11" hidden="1" x14ac:dyDescent="0.2">
      <c r="A581" s="316"/>
      <c r="B581" s="316"/>
      <c r="C581" s="316"/>
      <c r="D581" s="316"/>
      <c r="E581" s="316"/>
      <c r="F581" s="316"/>
      <c r="G581" s="316"/>
      <c r="H581" s="316"/>
      <c r="I581" s="316"/>
      <c r="J581" s="316"/>
      <c r="K581" s="316"/>
    </row>
    <row r="582" spans="1:11" hidden="1" x14ac:dyDescent="0.2">
      <c r="A582" s="316"/>
      <c r="B582" s="316"/>
      <c r="C582" s="316"/>
      <c r="D582" s="316"/>
      <c r="E582" s="316"/>
      <c r="F582" s="316"/>
      <c r="G582" s="316"/>
      <c r="H582" s="316"/>
      <c r="I582" s="316"/>
      <c r="J582" s="316"/>
      <c r="K582" s="316"/>
    </row>
    <row r="583" spans="1:11" hidden="1" x14ac:dyDescent="0.2">
      <c r="A583" s="316"/>
      <c r="B583" s="316"/>
      <c r="C583" s="316"/>
      <c r="D583" s="316"/>
      <c r="E583" s="316"/>
      <c r="F583" s="316"/>
      <c r="G583" s="316"/>
      <c r="H583" s="316"/>
      <c r="I583" s="316"/>
      <c r="J583" s="316"/>
      <c r="K583" s="316"/>
    </row>
    <row r="584" spans="1:11" hidden="1" x14ac:dyDescent="0.2">
      <c r="A584" s="316"/>
      <c r="B584" s="316"/>
      <c r="C584" s="316"/>
      <c r="D584" s="316"/>
      <c r="E584" s="316"/>
      <c r="F584" s="316"/>
      <c r="G584" s="316"/>
      <c r="H584" s="316"/>
      <c r="I584" s="316"/>
      <c r="J584" s="316"/>
      <c r="K584" s="316"/>
    </row>
    <row r="585" spans="1:11" hidden="1" x14ac:dyDescent="0.2">
      <c r="A585" s="316"/>
      <c r="B585" s="316"/>
      <c r="C585" s="316"/>
      <c r="D585" s="316"/>
      <c r="E585" s="316"/>
      <c r="F585" s="316"/>
      <c r="G585" s="316"/>
      <c r="H585" s="316"/>
      <c r="I585" s="316"/>
      <c r="J585" s="316"/>
      <c r="K585" s="316"/>
    </row>
    <row r="586" spans="1:11" hidden="1" x14ac:dyDescent="0.2">
      <c r="A586" s="316"/>
      <c r="B586" s="316"/>
      <c r="C586" s="316"/>
      <c r="D586" s="316"/>
      <c r="E586" s="316"/>
      <c r="F586" s="316"/>
      <c r="G586" s="316"/>
      <c r="H586" s="316"/>
      <c r="I586" s="316"/>
      <c r="J586" s="316"/>
      <c r="K586" s="316"/>
    </row>
    <row r="587" spans="1:11" hidden="1" x14ac:dyDescent="0.2">
      <c r="A587" s="316"/>
      <c r="B587" s="316"/>
      <c r="C587" s="316"/>
      <c r="D587" s="316"/>
      <c r="E587" s="316"/>
      <c r="F587" s="316"/>
      <c r="G587" s="316"/>
      <c r="H587" s="316"/>
      <c r="I587" s="316"/>
      <c r="J587" s="316"/>
      <c r="K587" s="316"/>
    </row>
    <row r="588" spans="1:11" hidden="1" x14ac:dyDescent="0.2">
      <c r="A588" s="316"/>
      <c r="B588" s="316"/>
      <c r="C588" s="316"/>
      <c r="D588" s="316"/>
      <c r="E588" s="316"/>
      <c r="F588" s="316"/>
      <c r="G588" s="316"/>
      <c r="H588" s="316"/>
      <c r="I588" s="316"/>
      <c r="J588" s="316"/>
      <c r="K588" s="316"/>
    </row>
    <row r="589" spans="1:11" hidden="1" x14ac:dyDescent="0.2">
      <c r="A589" s="316"/>
      <c r="B589" s="316"/>
      <c r="C589" s="316"/>
      <c r="D589" s="316"/>
      <c r="E589" s="316"/>
      <c r="F589" s="316"/>
      <c r="G589" s="316"/>
      <c r="H589" s="316"/>
      <c r="I589" s="316"/>
      <c r="J589" s="316"/>
      <c r="K589" s="316"/>
    </row>
    <row r="590" spans="1:11" hidden="1" x14ac:dyDescent="0.2">
      <c r="A590" s="316"/>
      <c r="B590" s="316"/>
      <c r="C590" s="316"/>
      <c r="D590" s="316"/>
      <c r="E590" s="316"/>
      <c r="F590" s="316"/>
      <c r="G590" s="316"/>
      <c r="H590" s="316"/>
      <c r="I590" s="316"/>
      <c r="J590" s="316"/>
      <c r="K590" s="316"/>
    </row>
    <row r="591" spans="1:11" hidden="1" x14ac:dyDescent="0.2">
      <c r="A591" s="316"/>
      <c r="B591" s="316"/>
      <c r="C591" s="316"/>
      <c r="D591" s="316"/>
      <c r="E591" s="316"/>
      <c r="F591" s="316"/>
      <c r="G591" s="316"/>
      <c r="H591" s="316"/>
      <c r="I591" s="316"/>
      <c r="J591" s="316"/>
      <c r="K591" s="316"/>
    </row>
    <row r="592" spans="1:11" hidden="1" x14ac:dyDescent="0.2">
      <c r="A592" s="316"/>
      <c r="B592" s="316"/>
      <c r="C592" s="316"/>
      <c r="D592" s="316"/>
      <c r="E592" s="316"/>
      <c r="F592" s="316"/>
      <c r="G592" s="316"/>
      <c r="H592" s="316"/>
      <c r="I592" s="316"/>
      <c r="J592" s="316"/>
      <c r="K592" s="316"/>
    </row>
    <row r="593" spans="1:11" hidden="1" x14ac:dyDescent="0.2">
      <c r="A593" s="316"/>
      <c r="B593" s="316"/>
      <c r="C593" s="316"/>
      <c r="D593" s="316"/>
      <c r="E593" s="316"/>
      <c r="F593" s="316"/>
      <c r="G593" s="316"/>
      <c r="H593" s="316"/>
      <c r="I593" s="316"/>
      <c r="J593" s="316"/>
      <c r="K593" s="316"/>
    </row>
    <row r="594" spans="1:11" hidden="1" x14ac:dyDescent="0.2">
      <c r="A594" s="316"/>
      <c r="B594" s="316"/>
      <c r="C594" s="316"/>
      <c r="D594" s="316"/>
      <c r="E594" s="316"/>
      <c r="F594" s="316"/>
      <c r="G594" s="316"/>
      <c r="H594" s="316"/>
      <c r="I594" s="316"/>
      <c r="J594" s="316"/>
      <c r="K594" s="316"/>
    </row>
    <row r="595" spans="1:11" hidden="1" x14ac:dyDescent="0.2">
      <c r="A595" s="316"/>
      <c r="B595" s="316"/>
      <c r="C595" s="316"/>
      <c r="D595" s="316"/>
      <c r="E595" s="316"/>
      <c r="F595" s="316"/>
      <c r="G595" s="316"/>
      <c r="H595" s="316"/>
      <c r="I595" s="316"/>
      <c r="J595" s="316"/>
      <c r="K595" s="316"/>
    </row>
    <row r="596" spans="1:11" hidden="1" x14ac:dyDescent="0.2">
      <c r="A596" s="316"/>
      <c r="B596" s="316"/>
      <c r="C596" s="316"/>
      <c r="D596" s="316"/>
      <c r="E596" s="316"/>
      <c r="F596" s="316"/>
      <c r="G596" s="316"/>
      <c r="H596" s="316"/>
      <c r="I596" s="316"/>
      <c r="J596" s="316"/>
      <c r="K596" s="316"/>
    </row>
    <row r="597" spans="1:11" hidden="1" x14ac:dyDescent="0.2">
      <c r="A597" s="316"/>
      <c r="B597" s="316"/>
      <c r="C597" s="316"/>
      <c r="D597" s="316"/>
      <c r="E597" s="316"/>
      <c r="F597" s="316"/>
      <c r="G597" s="316"/>
      <c r="H597" s="316"/>
      <c r="I597" s="316"/>
      <c r="J597" s="316"/>
      <c r="K597" s="316"/>
    </row>
    <row r="598" spans="1:11" hidden="1" x14ac:dyDescent="0.2">
      <c r="A598" s="316"/>
      <c r="B598" s="316"/>
      <c r="C598" s="316"/>
      <c r="D598" s="316"/>
      <c r="E598" s="316"/>
      <c r="F598" s="316"/>
      <c r="G598" s="316"/>
      <c r="H598" s="316"/>
      <c r="I598" s="316"/>
      <c r="J598" s="316"/>
      <c r="K598" s="316"/>
    </row>
    <row r="599" spans="1:11" hidden="1" x14ac:dyDescent="0.2">
      <c r="A599" s="316"/>
      <c r="B599" s="316"/>
      <c r="C599" s="316"/>
      <c r="D599" s="316"/>
      <c r="E599" s="316"/>
      <c r="F599" s="316"/>
      <c r="G599" s="316"/>
      <c r="H599" s="316"/>
      <c r="I599" s="316"/>
      <c r="J599" s="316"/>
      <c r="K599" s="316"/>
    </row>
    <row r="600" spans="1:11" hidden="1" x14ac:dyDescent="0.2">
      <c r="A600" s="316"/>
      <c r="B600" s="316"/>
      <c r="C600" s="316"/>
      <c r="D600" s="316"/>
      <c r="E600" s="316"/>
      <c r="F600" s="316"/>
      <c r="G600" s="316"/>
      <c r="H600" s="316"/>
      <c r="I600" s="316"/>
      <c r="J600" s="316"/>
      <c r="K600" s="316"/>
    </row>
    <row r="601" spans="1:11" hidden="1" x14ac:dyDescent="0.2">
      <c r="A601" s="316"/>
      <c r="B601" s="316"/>
      <c r="C601" s="316"/>
      <c r="D601" s="316"/>
      <c r="E601" s="316"/>
      <c r="F601" s="316"/>
      <c r="G601" s="316"/>
      <c r="H601" s="316"/>
      <c r="I601" s="316"/>
      <c r="J601" s="316"/>
      <c r="K601" s="316"/>
    </row>
    <row r="602" spans="1:11" hidden="1" x14ac:dyDescent="0.2">
      <c r="A602" s="316"/>
      <c r="B602" s="316"/>
      <c r="C602" s="316"/>
      <c r="D602" s="316"/>
      <c r="E602" s="316"/>
      <c r="F602" s="316"/>
      <c r="G602" s="316"/>
      <c r="H602" s="316"/>
      <c r="I602" s="316"/>
      <c r="J602" s="316"/>
      <c r="K602" s="316"/>
    </row>
    <row r="603" spans="1:11" hidden="1" x14ac:dyDescent="0.2">
      <c r="A603" s="316"/>
      <c r="B603" s="316"/>
      <c r="C603" s="316"/>
      <c r="D603" s="316"/>
      <c r="E603" s="316"/>
      <c r="F603" s="316"/>
      <c r="G603" s="316"/>
      <c r="H603" s="316"/>
      <c r="I603" s="316"/>
      <c r="J603" s="316"/>
      <c r="K603" s="316"/>
    </row>
    <row r="604" spans="1:11" hidden="1" x14ac:dyDescent="0.2">
      <c r="A604" s="316"/>
      <c r="B604" s="316"/>
      <c r="C604" s="316"/>
      <c r="D604" s="316"/>
      <c r="E604" s="316"/>
      <c r="F604" s="316"/>
      <c r="G604" s="316"/>
      <c r="H604" s="316"/>
      <c r="I604" s="316"/>
      <c r="J604" s="316"/>
      <c r="K604" s="316"/>
    </row>
    <row r="605" spans="1:11" hidden="1" x14ac:dyDescent="0.2">
      <c r="A605" s="316"/>
      <c r="B605" s="316"/>
      <c r="C605" s="316"/>
      <c r="D605" s="316"/>
      <c r="E605" s="316"/>
      <c r="F605" s="316"/>
      <c r="G605" s="316"/>
      <c r="H605" s="316"/>
      <c r="I605" s="316"/>
      <c r="J605" s="316"/>
      <c r="K605" s="316"/>
    </row>
    <row r="606" spans="1:11" hidden="1" x14ac:dyDescent="0.2">
      <c r="A606" s="316"/>
      <c r="B606" s="316"/>
      <c r="C606" s="316"/>
      <c r="D606" s="316"/>
      <c r="E606" s="316"/>
      <c r="F606" s="316"/>
      <c r="G606" s="316"/>
      <c r="H606" s="316"/>
      <c r="I606" s="316"/>
      <c r="J606" s="316"/>
      <c r="K606" s="316"/>
    </row>
    <row r="607" spans="1:11" hidden="1" x14ac:dyDescent="0.2">
      <c r="A607" s="316"/>
      <c r="B607" s="316"/>
      <c r="C607" s="316"/>
      <c r="D607" s="316"/>
      <c r="E607" s="316"/>
      <c r="F607" s="316"/>
      <c r="G607" s="316"/>
      <c r="H607" s="316"/>
      <c r="I607" s="316"/>
      <c r="J607" s="316"/>
      <c r="K607" s="316"/>
    </row>
    <row r="608" spans="1:11" hidden="1" x14ac:dyDescent="0.2">
      <c r="A608" s="316"/>
      <c r="B608" s="316"/>
      <c r="C608" s="316"/>
      <c r="D608" s="316"/>
      <c r="E608" s="316"/>
      <c r="F608" s="316"/>
      <c r="G608" s="316"/>
      <c r="H608" s="316"/>
      <c r="I608" s="316"/>
      <c r="J608" s="316"/>
      <c r="K608" s="316"/>
    </row>
    <row r="609" spans="1:11" hidden="1" x14ac:dyDescent="0.2">
      <c r="A609" s="316"/>
      <c r="B609" s="316"/>
      <c r="C609" s="316"/>
      <c r="D609" s="316"/>
      <c r="E609" s="316"/>
      <c r="F609" s="316"/>
      <c r="G609" s="316"/>
      <c r="H609" s="316"/>
      <c r="I609" s="316"/>
      <c r="J609" s="316"/>
      <c r="K609" s="316"/>
    </row>
    <row r="610" spans="1:11" hidden="1" x14ac:dyDescent="0.2">
      <c r="A610" s="316"/>
      <c r="B610" s="316"/>
      <c r="C610" s="316"/>
      <c r="D610" s="316"/>
      <c r="E610" s="316"/>
      <c r="F610" s="316"/>
      <c r="G610" s="316"/>
      <c r="H610" s="316"/>
      <c r="I610" s="316"/>
      <c r="J610" s="316"/>
      <c r="K610" s="316"/>
    </row>
    <row r="611" spans="1:11" hidden="1" x14ac:dyDescent="0.2">
      <c r="A611" s="316"/>
      <c r="B611" s="316"/>
      <c r="C611" s="316"/>
      <c r="D611" s="316"/>
      <c r="E611" s="316"/>
      <c r="F611" s="316"/>
      <c r="G611" s="316"/>
      <c r="H611" s="316"/>
      <c r="I611" s="316"/>
      <c r="J611" s="316"/>
      <c r="K611" s="316"/>
    </row>
    <row r="612" spans="1:11" hidden="1" x14ac:dyDescent="0.2">
      <c r="A612" s="316"/>
      <c r="B612" s="316"/>
      <c r="C612" s="316"/>
      <c r="D612" s="316"/>
      <c r="E612" s="316"/>
      <c r="F612" s="316"/>
      <c r="G612" s="316"/>
      <c r="H612" s="316"/>
      <c r="I612" s="316"/>
      <c r="J612" s="316"/>
      <c r="K612" s="316"/>
    </row>
    <row r="613" spans="1:11" hidden="1" x14ac:dyDescent="0.2">
      <c r="A613" s="316"/>
      <c r="B613" s="316"/>
      <c r="C613" s="316"/>
      <c r="D613" s="316"/>
      <c r="E613" s="316"/>
      <c r="F613" s="316"/>
      <c r="G613" s="316"/>
      <c r="H613" s="316"/>
      <c r="I613" s="316"/>
      <c r="J613" s="316"/>
      <c r="K613" s="316"/>
    </row>
    <row r="614" spans="1:11" hidden="1" x14ac:dyDescent="0.2">
      <c r="A614" s="316"/>
      <c r="B614" s="316"/>
      <c r="C614" s="316"/>
      <c r="D614" s="316"/>
      <c r="E614" s="316"/>
      <c r="F614" s="316"/>
      <c r="G614" s="316"/>
      <c r="H614" s="316"/>
      <c r="I614" s="316"/>
      <c r="J614" s="316"/>
      <c r="K614" s="316"/>
    </row>
    <row r="615" spans="1:11" hidden="1" x14ac:dyDescent="0.2">
      <c r="A615" s="316"/>
      <c r="B615" s="316"/>
      <c r="C615" s="316"/>
      <c r="D615" s="316"/>
      <c r="E615" s="316"/>
      <c r="F615" s="316"/>
      <c r="G615" s="316"/>
      <c r="H615" s="316"/>
      <c r="I615" s="316"/>
      <c r="J615" s="316"/>
      <c r="K615" s="316"/>
    </row>
    <row r="616" spans="1:11" hidden="1" x14ac:dyDescent="0.2">
      <c r="A616" s="316"/>
      <c r="B616" s="316"/>
      <c r="C616" s="316"/>
      <c r="D616" s="316"/>
      <c r="E616" s="316"/>
      <c r="F616" s="316"/>
      <c r="G616" s="316"/>
      <c r="H616" s="316"/>
      <c r="I616" s="316"/>
      <c r="J616" s="316"/>
      <c r="K616" s="316"/>
    </row>
    <row r="617" spans="1:11" hidden="1" x14ac:dyDescent="0.2">
      <c r="A617" s="316"/>
      <c r="B617" s="316"/>
      <c r="C617" s="316"/>
      <c r="D617" s="316"/>
      <c r="E617" s="316"/>
      <c r="F617" s="316"/>
      <c r="G617" s="316"/>
      <c r="H617" s="316"/>
      <c r="I617" s="316"/>
      <c r="J617" s="316"/>
      <c r="K617" s="316"/>
    </row>
    <row r="618" spans="1:11" hidden="1" x14ac:dyDescent="0.2">
      <c r="A618" s="316"/>
      <c r="B618" s="316"/>
      <c r="C618" s="316"/>
      <c r="D618" s="316"/>
      <c r="E618" s="316"/>
      <c r="F618" s="316"/>
      <c r="G618" s="316"/>
      <c r="H618" s="316"/>
      <c r="I618" s="316"/>
      <c r="J618" s="316"/>
      <c r="K618" s="316"/>
    </row>
    <row r="619" spans="1:11" hidden="1" x14ac:dyDescent="0.2">
      <c r="A619" s="316"/>
      <c r="B619" s="316"/>
      <c r="C619" s="316"/>
      <c r="D619" s="316"/>
      <c r="E619" s="316"/>
      <c r="F619" s="316"/>
      <c r="G619" s="316"/>
      <c r="H619" s="316"/>
      <c r="I619" s="316"/>
      <c r="J619" s="316"/>
      <c r="K619" s="316"/>
    </row>
    <row r="620" spans="1:11" hidden="1" x14ac:dyDescent="0.2">
      <c r="A620" s="316"/>
      <c r="B620" s="316"/>
      <c r="C620" s="316"/>
      <c r="D620" s="316"/>
      <c r="E620" s="316"/>
      <c r="F620" s="316"/>
      <c r="G620" s="316"/>
      <c r="H620" s="316"/>
      <c r="I620" s="316"/>
      <c r="J620" s="316"/>
      <c r="K620" s="316"/>
    </row>
    <row r="621" spans="1:11" hidden="1" x14ac:dyDescent="0.2">
      <c r="A621" s="316"/>
      <c r="B621" s="316"/>
      <c r="C621" s="316"/>
      <c r="D621" s="316"/>
      <c r="E621" s="316"/>
      <c r="F621" s="316"/>
      <c r="G621" s="316"/>
      <c r="H621" s="316"/>
      <c r="I621" s="316"/>
      <c r="J621" s="316"/>
      <c r="K621" s="316"/>
    </row>
    <row r="622" spans="1:11" hidden="1" x14ac:dyDescent="0.2">
      <c r="A622" s="316"/>
      <c r="B622" s="316"/>
      <c r="C622" s="316"/>
      <c r="D622" s="316"/>
      <c r="E622" s="316"/>
      <c r="F622" s="316"/>
      <c r="G622" s="316"/>
      <c r="H622" s="316"/>
      <c r="I622" s="316"/>
      <c r="J622" s="316"/>
      <c r="K622" s="316"/>
    </row>
    <row r="623" spans="1:11" hidden="1" x14ac:dyDescent="0.2">
      <c r="A623" s="316"/>
      <c r="B623" s="316"/>
      <c r="C623" s="316"/>
      <c r="D623" s="316"/>
      <c r="E623" s="316"/>
      <c r="F623" s="316"/>
      <c r="G623" s="316"/>
      <c r="H623" s="316"/>
      <c r="I623" s="316"/>
      <c r="J623" s="316"/>
      <c r="K623" s="316"/>
    </row>
    <row r="624" spans="1:11" hidden="1" x14ac:dyDescent="0.2">
      <c r="A624" s="316"/>
      <c r="B624" s="316"/>
      <c r="C624" s="316"/>
      <c r="D624" s="316"/>
      <c r="E624" s="316"/>
      <c r="F624" s="316"/>
      <c r="G624" s="316"/>
      <c r="H624" s="316"/>
      <c r="I624" s="316"/>
      <c r="J624" s="316"/>
      <c r="K624" s="316"/>
    </row>
    <row r="625" spans="1:11" hidden="1" x14ac:dyDescent="0.2">
      <c r="A625" s="316"/>
      <c r="B625" s="316"/>
      <c r="C625" s="316"/>
      <c r="D625" s="316"/>
      <c r="E625" s="316"/>
      <c r="F625" s="316"/>
      <c r="G625" s="316"/>
      <c r="H625" s="316"/>
      <c r="I625" s="316"/>
      <c r="J625" s="316"/>
      <c r="K625" s="316"/>
    </row>
    <row r="626" spans="1:11" hidden="1" x14ac:dyDescent="0.2">
      <c r="A626" s="316"/>
      <c r="B626" s="316"/>
      <c r="C626" s="316"/>
      <c r="D626" s="316"/>
      <c r="E626" s="316"/>
      <c r="F626" s="316"/>
      <c r="G626" s="316"/>
      <c r="H626" s="316"/>
      <c r="I626" s="316"/>
      <c r="J626" s="316"/>
      <c r="K626" s="316"/>
    </row>
    <row r="627" spans="1:11" hidden="1" x14ac:dyDescent="0.2">
      <c r="A627" s="316"/>
      <c r="B627" s="316"/>
      <c r="C627" s="316"/>
      <c r="D627" s="316"/>
      <c r="E627" s="316"/>
      <c r="F627" s="316"/>
      <c r="G627" s="316"/>
      <c r="H627" s="316"/>
      <c r="I627" s="316"/>
      <c r="J627" s="316"/>
      <c r="K627" s="316"/>
    </row>
    <row r="628" spans="1:11" hidden="1" x14ac:dyDescent="0.2">
      <c r="A628" s="316"/>
      <c r="B628" s="316"/>
      <c r="C628" s="316"/>
      <c r="D628" s="316"/>
      <c r="E628" s="316"/>
      <c r="F628" s="316"/>
      <c r="G628" s="316"/>
      <c r="H628" s="316"/>
      <c r="I628" s="316"/>
      <c r="J628" s="316"/>
      <c r="K628" s="316"/>
    </row>
    <row r="629" spans="1:11" hidden="1" x14ac:dyDescent="0.2">
      <c r="A629" s="316"/>
      <c r="B629" s="316"/>
      <c r="C629" s="316"/>
      <c r="D629" s="316"/>
      <c r="E629" s="316"/>
      <c r="F629" s="316"/>
      <c r="G629" s="316"/>
      <c r="H629" s="316"/>
      <c r="I629" s="316"/>
      <c r="J629" s="316"/>
      <c r="K629" s="316"/>
    </row>
    <row r="630" spans="1:11" hidden="1" x14ac:dyDescent="0.2">
      <c r="A630" s="316"/>
      <c r="B630" s="316"/>
      <c r="C630" s="316"/>
      <c r="D630" s="316"/>
      <c r="E630" s="316"/>
      <c r="F630" s="316"/>
      <c r="G630" s="316"/>
      <c r="H630" s="316"/>
      <c r="I630" s="316"/>
      <c r="J630" s="316"/>
      <c r="K630" s="316"/>
    </row>
    <row r="631" spans="1:11" hidden="1" x14ac:dyDescent="0.2">
      <c r="A631" s="316"/>
      <c r="B631" s="316"/>
      <c r="C631" s="316"/>
      <c r="D631" s="316"/>
      <c r="E631" s="316"/>
      <c r="F631" s="316"/>
      <c r="G631" s="316"/>
      <c r="H631" s="316"/>
      <c r="I631" s="316"/>
      <c r="J631" s="316"/>
      <c r="K631" s="316"/>
    </row>
    <row r="632" spans="1:11" hidden="1" x14ac:dyDescent="0.2">
      <c r="A632" s="316"/>
      <c r="B632" s="316"/>
      <c r="C632" s="316"/>
      <c r="D632" s="316"/>
      <c r="E632" s="316"/>
      <c r="F632" s="316"/>
      <c r="G632" s="316"/>
      <c r="H632" s="316"/>
      <c r="I632" s="316"/>
      <c r="J632" s="316"/>
      <c r="K632" s="316"/>
    </row>
    <row r="633" spans="1:11" hidden="1" x14ac:dyDescent="0.2">
      <c r="A633" s="316"/>
      <c r="B633" s="316"/>
      <c r="C633" s="316"/>
      <c r="D633" s="316"/>
      <c r="E633" s="316"/>
      <c r="F633" s="316"/>
      <c r="G633" s="316"/>
      <c r="H633" s="316"/>
      <c r="I633" s="316"/>
      <c r="J633" s="316"/>
      <c r="K633" s="316"/>
    </row>
    <row r="634" spans="1:11" hidden="1" x14ac:dyDescent="0.2">
      <c r="A634" s="316"/>
      <c r="B634" s="316"/>
      <c r="C634" s="316"/>
      <c r="D634" s="316"/>
      <c r="E634" s="316"/>
      <c r="F634" s="316"/>
      <c r="G634" s="316"/>
      <c r="H634" s="316"/>
      <c r="I634" s="316"/>
      <c r="J634" s="316"/>
      <c r="K634" s="316"/>
    </row>
    <row r="635" spans="1:11" hidden="1" x14ac:dyDescent="0.2">
      <c r="A635" s="316"/>
      <c r="B635" s="316"/>
      <c r="C635" s="316"/>
      <c r="D635" s="316"/>
      <c r="E635" s="316"/>
      <c r="F635" s="316"/>
      <c r="G635" s="316"/>
      <c r="H635" s="316"/>
      <c r="I635" s="316"/>
      <c r="J635" s="316"/>
      <c r="K635" s="316"/>
    </row>
    <row r="636" spans="1:11" hidden="1" x14ac:dyDescent="0.2">
      <c r="A636" s="316"/>
      <c r="B636" s="316"/>
      <c r="C636" s="316"/>
      <c r="D636" s="316"/>
      <c r="E636" s="316"/>
      <c r="F636" s="316"/>
      <c r="G636" s="316"/>
      <c r="H636" s="316"/>
      <c r="I636" s="316"/>
      <c r="J636" s="316"/>
      <c r="K636" s="316"/>
    </row>
    <row r="637" spans="1:11" hidden="1" x14ac:dyDescent="0.2">
      <c r="A637" s="316"/>
      <c r="B637" s="316"/>
      <c r="C637" s="316"/>
      <c r="D637" s="316"/>
      <c r="E637" s="316"/>
      <c r="F637" s="316"/>
      <c r="G637" s="316"/>
      <c r="H637" s="316"/>
      <c r="I637" s="316"/>
      <c r="J637" s="316"/>
      <c r="K637" s="316"/>
    </row>
    <row r="638" spans="1:11" hidden="1" x14ac:dyDescent="0.2">
      <c r="A638" s="316"/>
      <c r="B638" s="316"/>
      <c r="C638" s="316"/>
      <c r="D638" s="316"/>
      <c r="E638" s="316"/>
      <c r="F638" s="316"/>
      <c r="G638" s="316"/>
      <c r="H638" s="316"/>
      <c r="I638" s="316"/>
      <c r="J638" s="316"/>
      <c r="K638" s="316"/>
    </row>
    <row r="639" spans="1:11" hidden="1" x14ac:dyDescent="0.2">
      <c r="A639" s="316"/>
      <c r="B639" s="316"/>
      <c r="C639" s="316"/>
      <c r="D639" s="316"/>
      <c r="E639" s="316"/>
      <c r="F639" s="316"/>
      <c r="G639" s="316"/>
      <c r="H639" s="316"/>
      <c r="I639" s="316"/>
      <c r="J639" s="316"/>
      <c r="K639" s="316"/>
    </row>
    <row r="640" spans="1:11" hidden="1" x14ac:dyDescent="0.2">
      <c r="A640" s="316"/>
      <c r="B640" s="316"/>
      <c r="C640" s="316"/>
      <c r="D640" s="316"/>
      <c r="E640" s="316"/>
      <c r="F640" s="316"/>
      <c r="G640" s="316"/>
      <c r="H640" s="316"/>
      <c r="I640" s="316"/>
      <c r="J640" s="316"/>
      <c r="K640" s="316"/>
    </row>
    <row r="641" spans="1:11" hidden="1" x14ac:dyDescent="0.2">
      <c r="A641" s="316"/>
      <c r="B641" s="316"/>
      <c r="C641" s="316"/>
      <c r="D641" s="316"/>
      <c r="E641" s="316"/>
      <c r="F641" s="316"/>
      <c r="G641" s="316"/>
      <c r="H641" s="316"/>
      <c r="I641" s="316"/>
      <c r="J641" s="316"/>
      <c r="K641" s="316"/>
    </row>
    <row r="642" spans="1:11" hidden="1" x14ac:dyDescent="0.2">
      <c r="A642" s="316"/>
      <c r="B642" s="316"/>
      <c r="C642" s="316"/>
      <c r="D642" s="316"/>
      <c r="E642" s="316"/>
      <c r="F642" s="316"/>
      <c r="G642" s="316"/>
      <c r="H642" s="316"/>
      <c r="I642" s="316"/>
      <c r="J642" s="316"/>
      <c r="K642" s="316"/>
    </row>
    <row r="643" spans="1:11" hidden="1" x14ac:dyDescent="0.2">
      <c r="A643" s="316"/>
      <c r="B643" s="316"/>
      <c r="C643" s="316"/>
      <c r="D643" s="316"/>
      <c r="E643" s="316"/>
      <c r="F643" s="316"/>
      <c r="G643" s="316"/>
      <c r="H643" s="316"/>
      <c r="I643" s="316"/>
      <c r="J643" s="316"/>
      <c r="K643" s="316"/>
    </row>
    <row r="644" spans="1:11" hidden="1" x14ac:dyDescent="0.2">
      <c r="A644" s="316"/>
      <c r="B644" s="316"/>
      <c r="C644" s="316"/>
      <c r="D644" s="316"/>
      <c r="E644" s="316"/>
      <c r="F644" s="316"/>
      <c r="G644" s="316"/>
      <c r="H644" s="316"/>
      <c r="I644" s="316"/>
      <c r="J644" s="316"/>
      <c r="K644" s="316"/>
    </row>
    <row r="645" spans="1:11" hidden="1" x14ac:dyDescent="0.2">
      <c r="A645" s="316"/>
      <c r="B645" s="316"/>
      <c r="C645" s="316"/>
      <c r="D645" s="316"/>
      <c r="E645" s="316"/>
      <c r="F645" s="316"/>
      <c r="G645" s="316"/>
      <c r="H645" s="316"/>
      <c r="I645" s="316"/>
      <c r="J645" s="316"/>
      <c r="K645" s="316"/>
    </row>
    <row r="646" spans="1:11" hidden="1" x14ac:dyDescent="0.2">
      <c r="A646" s="316"/>
      <c r="B646" s="316"/>
      <c r="C646" s="316"/>
      <c r="D646" s="316"/>
      <c r="E646" s="316"/>
      <c r="F646" s="316"/>
      <c r="G646" s="316"/>
      <c r="H646" s="316"/>
      <c r="I646" s="316"/>
      <c r="J646" s="316"/>
      <c r="K646" s="316"/>
    </row>
    <row r="647" spans="1:11" hidden="1" x14ac:dyDescent="0.2">
      <c r="A647" s="316"/>
      <c r="B647" s="316"/>
      <c r="C647" s="316"/>
      <c r="D647" s="316"/>
      <c r="E647" s="316"/>
      <c r="F647" s="316"/>
      <c r="G647" s="316"/>
      <c r="H647" s="316"/>
      <c r="I647" s="316"/>
      <c r="J647" s="316"/>
      <c r="K647" s="316"/>
    </row>
    <row r="648" spans="1:11" hidden="1" x14ac:dyDescent="0.2">
      <c r="A648" s="316"/>
      <c r="B648" s="316"/>
      <c r="C648" s="316"/>
      <c r="D648" s="316"/>
      <c r="E648" s="316"/>
      <c r="F648" s="316"/>
      <c r="G648" s="316"/>
      <c r="H648" s="316"/>
      <c r="I648" s="316"/>
      <c r="J648" s="316"/>
      <c r="K648" s="316"/>
    </row>
    <row r="649" spans="1:11" hidden="1" x14ac:dyDescent="0.2">
      <c r="A649" s="316"/>
      <c r="B649" s="316"/>
      <c r="C649" s="316"/>
      <c r="D649" s="316"/>
      <c r="E649" s="316"/>
      <c r="F649" s="316"/>
      <c r="G649" s="316"/>
      <c r="H649" s="316"/>
      <c r="I649" s="316"/>
      <c r="J649" s="316"/>
      <c r="K649" s="316"/>
    </row>
    <row r="650" spans="1:11" hidden="1" x14ac:dyDescent="0.2">
      <c r="A650" s="316"/>
      <c r="B650" s="316"/>
      <c r="C650" s="316"/>
      <c r="D650" s="316"/>
      <c r="E650" s="316"/>
      <c r="F650" s="316"/>
      <c r="G650" s="316"/>
      <c r="H650" s="316"/>
      <c r="I650" s="316"/>
      <c r="J650" s="316"/>
      <c r="K650" s="316"/>
    </row>
    <row r="651" spans="1:11" hidden="1" x14ac:dyDescent="0.2">
      <c r="A651" s="316"/>
      <c r="B651" s="316"/>
      <c r="C651" s="316"/>
      <c r="D651" s="316"/>
      <c r="E651" s="316"/>
      <c r="F651" s="316"/>
      <c r="G651" s="316"/>
      <c r="H651" s="316"/>
      <c r="I651" s="316"/>
      <c r="J651" s="316"/>
      <c r="K651" s="316"/>
    </row>
    <row r="652" spans="1:11" hidden="1" x14ac:dyDescent="0.2">
      <c r="A652" s="316"/>
      <c r="B652" s="316"/>
      <c r="C652" s="316"/>
      <c r="D652" s="316"/>
      <c r="E652" s="316"/>
      <c r="F652" s="316"/>
      <c r="G652" s="316"/>
      <c r="H652" s="316"/>
      <c r="I652" s="316"/>
      <c r="J652" s="316"/>
      <c r="K652" s="316"/>
    </row>
    <row r="653" spans="1:11" hidden="1" x14ac:dyDescent="0.2">
      <c r="A653" s="316"/>
      <c r="B653" s="316"/>
      <c r="C653" s="316"/>
      <c r="D653" s="316"/>
      <c r="E653" s="316"/>
      <c r="F653" s="316"/>
      <c r="G653" s="316"/>
      <c r="H653" s="316"/>
      <c r="I653" s="316"/>
      <c r="J653" s="316"/>
      <c r="K653" s="316"/>
    </row>
    <row r="654" spans="1:11" hidden="1" x14ac:dyDescent="0.2">
      <c r="A654" s="316"/>
      <c r="B654" s="316"/>
      <c r="C654" s="316"/>
      <c r="D654" s="316"/>
      <c r="E654" s="316"/>
      <c r="F654" s="316"/>
      <c r="G654" s="316"/>
      <c r="H654" s="316"/>
      <c r="I654" s="316"/>
      <c r="J654" s="316"/>
      <c r="K654" s="316"/>
    </row>
    <row r="655" spans="1:11" hidden="1" x14ac:dyDescent="0.2">
      <c r="A655" s="316"/>
      <c r="B655" s="316"/>
      <c r="C655" s="316"/>
      <c r="D655" s="316"/>
      <c r="E655" s="316"/>
      <c r="F655" s="316"/>
      <c r="G655" s="316"/>
      <c r="H655" s="316"/>
      <c r="I655" s="316"/>
      <c r="J655" s="316"/>
      <c r="K655" s="316"/>
    </row>
    <row r="656" spans="1:11" hidden="1" x14ac:dyDescent="0.2">
      <c r="A656" s="316"/>
      <c r="B656" s="316"/>
      <c r="C656" s="316"/>
      <c r="D656" s="316"/>
      <c r="E656" s="316"/>
      <c r="F656" s="316"/>
      <c r="G656" s="316"/>
      <c r="H656" s="316"/>
      <c r="I656" s="316"/>
      <c r="J656" s="316"/>
      <c r="K656" s="316"/>
    </row>
    <row r="657" spans="1:11" hidden="1" x14ac:dyDescent="0.2">
      <c r="A657" s="316"/>
      <c r="B657" s="316"/>
      <c r="C657" s="316"/>
      <c r="D657" s="316"/>
      <c r="E657" s="316"/>
      <c r="F657" s="316"/>
      <c r="G657" s="316"/>
      <c r="H657" s="316"/>
      <c r="I657" s="316"/>
      <c r="J657" s="316"/>
      <c r="K657" s="316"/>
    </row>
    <row r="658" spans="1:11" hidden="1" x14ac:dyDescent="0.2">
      <c r="A658" s="316"/>
      <c r="B658" s="316"/>
      <c r="C658" s="316"/>
      <c r="D658" s="316"/>
      <c r="E658" s="316"/>
      <c r="F658" s="316"/>
      <c r="G658" s="316"/>
      <c r="H658" s="316"/>
      <c r="I658" s="316"/>
      <c r="J658" s="316"/>
      <c r="K658" s="316"/>
    </row>
    <row r="659" spans="1:11" hidden="1" x14ac:dyDescent="0.2">
      <c r="A659" s="316"/>
      <c r="B659" s="316"/>
      <c r="C659" s="316"/>
      <c r="D659" s="316"/>
      <c r="E659" s="316"/>
      <c r="F659" s="316"/>
      <c r="G659" s="316"/>
      <c r="H659" s="316"/>
      <c r="I659" s="316"/>
      <c r="J659" s="316"/>
      <c r="K659" s="316"/>
    </row>
    <row r="660" spans="1:11" hidden="1" x14ac:dyDescent="0.2">
      <c r="A660" s="316"/>
      <c r="B660" s="316"/>
      <c r="C660" s="316"/>
      <c r="D660" s="316"/>
      <c r="E660" s="316"/>
      <c r="F660" s="316"/>
      <c r="G660" s="316"/>
      <c r="H660" s="316"/>
      <c r="I660" s="316"/>
      <c r="J660" s="316"/>
      <c r="K660" s="316"/>
    </row>
    <row r="661" spans="1:11" hidden="1" x14ac:dyDescent="0.2">
      <c r="A661" s="316"/>
      <c r="B661" s="316"/>
      <c r="C661" s="316"/>
      <c r="D661" s="316"/>
      <c r="E661" s="316"/>
      <c r="F661" s="316"/>
      <c r="G661" s="316"/>
      <c r="H661" s="316"/>
      <c r="I661" s="316"/>
      <c r="J661" s="316"/>
      <c r="K661" s="316"/>
    </row>
    <row r="662" spans="1:11" hidden="1" x14ac:dyDescent="0.2">
      <c r="A662" s="316"/>
      <c r="B662" s="316"/>
      <c r="C662" s="316"/>
      <c r="D662" s="316"/>
      <c r="E662" s="316"/>
      <c r="F662" s="316"/>
      <c r="G662" s="316"/>
      <c r="H662" s="316"/>
      <c r="I662" s="316"/>
      <c r="J662" s="316"/>
      <c r="K662" s="316"/>
    </row>
    <row r="663" spans="1:11" hidden="1" x14ac:dyDescent="0.2">
      <c r="A663" s="316"/>
      <c r="B663" s="316"/>
      <c r="C663" s="316"/>
      <c r="D663" s="316"/>
      <c r="E663" s="316"/>
      <c r="F663" s="316"/>
      <c r="G663" s="316"/>
      <c r="H663" s="316"/>
      <c r="I663" s="316"/>
      <c r="J663" s="316"/>
      <c r="K663" s="316"/>
    </row>
    <row r="664" spans="1:11" hidden="1" x14ac:dyDescent="0.2">
      <c r="A664" s="316"/>
      <c r="B664" s="316"/>
      <c r="C664" s="316"/>
      <c r="D664" s="316"/>
      <c r="E664" s="316"/>
      <c r="F664" s="316"/>
      <c r="G664" s="316"/>
      <c r="H664" s="316"/>
      <c r="I664" s="316"/>
      <c r="J664" s="316"/>
      <c r="K664" s="316"/>
    </row>
    <row r="665" spans="1:11" hidden="1" x14ac:dyDescent="0.2">
      <c r="A665" s="316"/>
      <c r="B665" s="316"/>
      <c r="C665" s="316"/>
      <c r="D665" s="316"/>
      <c r="E665" s="316"/>
      <c r="F665" s="316"/>
      <c r="G665" s="316"/>
      <c r="H665" s="316"/>
      <c r="I665" s="316"/>
      <c r="J665" s="316"/>
      <c r="K665" s="316"/>
    </row>
    <row r="666" spans="1:11" hidden="1" x14ac:dyDescent="0.2">
      <c r="A666" s="316"/>
      <c r="B666" s="316"/>
      <c r="C666" s="316"/>
      <c r="D666" s="316"/>
      <c r="E666" s="316"/>
      <c r="F666" s="316"/>
      <c r="G666" s="316"/>
      <c r="H666" s="316"/>
      <c r="I666" s="316"/>
      <c r="J666" s="316"/>
      <c r="K666" s="316"/>
    </row>
    <row r="667" spans="1:11" hidden="1" x14ac:dyDescent="0.2">
      <c r="A667" s="316"/>
      <c r="B667" s="316"/>
      <c r="C667" s="316"/>
      <c r="D667" s="316"/>
      <c r="E667" s="316"/>
      <c r="F667" s="316"/>
      <c r="G667" s="316"/>
      <c r="H667" s="316"/>
      <c r="I667" s="316"/>
      <c r="J667" s="316"/>
      <c r="K667" s="316"/>
    </row>
    <row r="668" spans="1:11" hidden="1" x14ac:dyDescent="0.2">
      <c r="A668" s="316"/>
      <c r="B668" s="316"/>
      <c r="C668" s="316"/>
      <c r="D668" s="316"/>
      <c r="E668" s="316"/>
      <c r="F668" s="316"/>
      <c r="G668" s="316"/>
      <c r="H668" s="316"/>
      <c r="I668" s="316"/>
      <c r="J668" s="316"/>
      <c r="K668" s="316"/>
    </row>
    <row r="669" spans="1:11" hidden="1" x14ac:dyDescent="0.2">
      <c r="A669" s="316"/>
      <c r="B669" s="316"/>
      <c r="C669" s="316"/>
      <c r="D669" s="316"/>
      <c r="E669" s="316"/>
      <c r="F669" s="316"/>
      <c r="G669" s="316"/>
      <c r="H669" s="316"/>
      <c r="I669" s="316"/>
      <c r="J669" s="316"/>
      <c r="K669" s="316"/>
    </row>
    <row r="670" spans="1:11" hidden="1" x14ac:dyDescent="0.2">
      <c r="A670" s="316"/>
      <c r="B670" s="316"/>
      <c r="C670" s="316"/>
      <c r="D670" s="316"/>
      <c r="E670" s="316"/>
      <c r="F670" s="316"/>
      <c r="G670" s="316"/>
      <c r="H670" s="316"/>
      <c r="I670" s="316"/>
      <c r="J670" s="316"/>
      <c r="K670" s="316"/>
    </row>
    <row r="671" spans="1:11" hidden="1" x14ac:dyDescent="0.2">
      <c r="A671" s="316"/>
      <c r="B671" s="316"/>
      <c r="C671" s="316"/>
      <c r="D671" s="316"/>
      <c r="E671" s="316"/>
      <c r="F671" s="316"/>
      <c r="G671" s="316"/>
      <c r="H671" s="316"/>
      <c r="I671" s="316"/>
      <c r="J671" s="316"/>
      <c r="K671" s="316"/>
    </row>
    <row r="672" spans="1:11" hidden="1" x14ac:dyDescent="0.2">
      <c r="A672" s="316"/>
      <c r="B672" s="316"/>
      <c r="C672" s="316"/>
      <c r="D672" s="316"/>
      <c r="E672" s="316"/>
      <c r="F672" s="316"/>
      <c r="G672" s="316"/>
      <c r="H672" s="316"/>
      <c r="I672" s="316"/>
      <c r="J672" s="316"/>
      <c r="K672" s="316"/>
    </row>
    <row r="673" spans="1:11" hidden="1" x14ac:dyDescent="0.2">
      <c r="A673" s="316"/>
      <c r="B673" s="316"/>
      <c r="C673" s="316"/>
      <c r="D673" s="316"/>
      <c r="E673" s="316"/>
      <c r="F673" s="316"/>
      <c r="G673" s="316"/>
      <c r="H673" s="316"/>
      <c r="I673" s="316"/>
      <c r="J673" s="316"/>
      <c r="K673" s="316"/>
    </row>
    <row r="674" spans="1:11" hidden="1" x14ac:dyDescent="0.2">
      <c r="A674" s="316"/>
      <c r="B674" s="316"/>
      <c r="C674" s="316"/>
      <c r="D674" s="316"/>
      <c r="E674" s="316"/>
      <c r="F674" s="316"/>
      <c r="G674" s="316"/>
      <c r="H674" s="316"/>
      <c r="I674" s="316"/>
      <c r="J674" s="316"/>
      <c r="K674" s="316"/>
    </row>
    <row r="675" spans="1:11" hidden="1" x14ac:dyDescent="0.2">
      <c r="A675" s="316"/>
      <c r="B675" s="316"/>
      <c r="C675" s="316"/>
      <c r="D675" s="316"/>
      <c r="E675" s="316"/>
      <c r="F675" s="316"/>
      <c r="G675" s="316"/>
      <c r="H675" s="316"/>
      <c r="I675" s="316"/>
      <c r="J675" s="316"/>
      <c r="K675" s="316"/>
    </row>
    <row r="676" spans="1:11" hidden="1" x14ac:dyDescent="0.2">
      <c r="A676" s="316"/>
      <c r="B676" s="316"/>
      <c r="C676" s="316"/>
      <c r="D676" s="316"/>
      <c r="E676" s="316"/>
      <c r="F676" s="316"/>
      <c r="G676" s="316"/>
      <c r="H676" s="316"/>
      <c r="I676" s="316"/>
      <c r="J676" s="316"/>
      <c r="K676" s="316"/>
    </row>
    <row r="677" spans="1:11" hidden="1" x14ac:dyDescent="0.2">
      <c r="A677" s="316"/>
      <c r="B677" s="316"/>
      <c r="C677" s="316"/>
      <c r="D677" s="316"/>
      <c r="E677" s="316"/>
      <c r="F677" s="316"/>
      <c r="G677" s="316"/>
      <c r="H677" s="316"/>
      <c r="I677" s="316"/>
      <c r="J677" s="316"/>
      <c r="K677" s="316"/>
    </row>
    <row r="678" spans="1:11" hidden="1" x14ac:dyDescent="0.2">
      <c r="A678" s="316"/>
      <c r="B678" s="316"/>
      <c r="C678" s="316"/>
      <c r="D678" s="316"/>
      <c r="E678" s="316"/>
      <c r="F678" s="316"/>
      <c r="G678" s="316"/>
      <c r="H678" s="316"/>
      <c r="I678" s="316"/>
      <c r="J678" s="316"/>
      <c r="K678" s="316"/>
    </row>
    <row r="679" spans="1:11" hidden="1" x14ac:dyDescent="0.2">
      <c r="A679" s="316"/>
      <c r="B679" s="316"/>
      <c r="C679" s="316"/>
      <c r="D679" s="316"/>
      <c r="E679" s="316"/>
      <c r="F679" s="316"/>
      <c r="G679" s="316"/>
      <c r="H679" s="316"/>
      <c r="I679" s="316"/>
      <c r="J679" s="316"/>
      <c r="K679" s="316"/>
    </row>
    <row r="680" spans="1:11" hidden="1" x14ac:dyDescent="0.2">
      <c r="A680" s="316"/>
      <c r="B680" s="316"/>
      <c r="C680" s="316"/>
      <c r="D680" s="316"/>
      <c r="E680" s="316"/>
      <c r="F680" s="316"/>
      <c r="G680" s="316"/>
      <c r="H680" s="316"/>
      <c r="I680" s="316"/>
      <c r="J680" s="316"/>
      <c r="K680" s="316"/>
    </row>
    <row r="681" spans="1:11" hidden="1" x14ac:dyDescent="0.2">
      <c r="A681" s="316"/>
      <c r="B681" s="316"/>
      <c r="C681" s="316"/>
      <c r="D681" s="316"/>
      <c r="E681" s="316"/>
      <c r="F681" s="316"/>
      <c r="G681" s="316"/>
      <c r="H681" s="316"/>
      <c r="I681" s="316"/>
      <c r="J681" s="316"/>
      <c r="K681" s="316"/>
    </row>
    <row r="682" spans="1:11" hidden="1" x14ac:dyDescent="0.2">
      <c r="A682" s="316"/>
      <c r="B682" s="316"/>
      <c r="C682" s="316"/>
      <c r="D682" s="316"/>
      <c r="E682" s="316"/>
      <c r="F682" s="316"/>
      <c r="G682" s="316"/>
      <c r="H682" s="316"/>
      <c r="I682" s="316"/>
      <c r="J682" s="316"/>
      <c r="K682" s="316"/>
    </row>
    <row r="683" spans="1:11" hidden="1" x14ac:dyDescent="0.2">
      <c r="A683" s="316"/>
      <c r="B683" s="316"/>
      <c r="C683" s="316"/>
      <c r="D683" s="316"/>
      <c r="E683" s="316"/>
      <c r="F683" s="316"/>
      <c r="G683" s="316"/>
      <c r="H683" s="316"/>
      <c r="I683" s="316"/>
      <c r="J683" s="316"/>
      <c r="K683" s="316"/>
    </row>
    <row r="684" spans="1:11" hidden="1" x14ac:dyDescent="0.2">
      <c r="A684" s="316"/>
      <c r="B684" s="316"/>
      <c r="C684" s="316"/>
      <c r="D684" s="316"/>
      <c r="E684" s="316"/>
      <c r="F684" s="316"/>
      <c r="G684" s="316"/>
      <c r="H684" s="316"/>
      <c r="I684" s="316"/>
      <c r="J684" s="316"/>
      <c r="K684" s="316"/>
    </row>
    <row r="685" spans="1:11" hidden="1" x14ac:dyDescent="0.2">
      <c r="A685" s="316"/>
      <c r="B685" s="316"/>
      <c r="C685" s="316"/>
      <c r="D685" s="316"/>
      <c r="E685" s="316"/>
      <c r="F685" s="316"/>
      <c r="G685" s="316"/>
      <c r="H685" s="316"/>
      <c r="I685" s="316"/>
      <c r="J685" s="316"/>
      <c r="K685" s="316"/>
    </row>
    <row r="686" spans="1:11" hidden="1" x14ac:dyDescent="0.2">
      <c r="A686" s="316"/>
      <c r="B686" s="316"/>
      <c r="C686" s="316"/>
      <c r="D686" s="316"/>
      <c r="E686" s="316"/>
      <c r="F686" s="316"/>
      <c r="G686" s="316"/>
      <c r="H686" s="316"/>
      <c r="I686" s="316"/>
      <c r="J686" s="316"/>
      <c r="K686" s="316"/>
    </row>
    <row r="687" spans="1:11" hidden="1" x14ac:dyDescent="0.2">
      <c r="A687" s="316"/>
      <c r="B687" s="316"/>
      <c r="C687" s="316"/>
      <c r="D687" s="316"/>
      <c r="E687" s="316"/>
      <c r="F687" s="316"/>
      <c r="G687" s="316"/>
      <c r="H687" s="316"/>
      <c r="I687" s="316"/>
      <c r="J687" s="316"/>
      <c r="K687" s="316"/>
    </row>
    <row r="688" spans="1:11" hidden="1" x14ac:dyDescent="0.2">
      <c r="A688" s="316"/>
      <c r="B688" s="316"/>
      <c r="C688" s="316"/>
      <c r="D688" s="316"/>
      <c r="E688" s="316"/>
      <c r="F688" s="316"/>
      <c r="G688" s="316"/>
      <c r="H688" s="316"/>
      <c r="I688" s="316"/>
      <c r="J688" s="316"/>
      <c r="K688" s="316"/>
    </row>
    <row r="689" spans="1:11" hidden="1" x14ac:dyDescent="0.2">
      <c r="A689" s="316"/>
      <c r="B689" s="316"/>
      <c r="C689" s="316"/>
      <c r="D689" s="316"/>
      <c r="E689" s="316"/>
      <c r="F689" s="316"/>
      <c r="G689" s="316"/>
      <c r="H689" s="316"/>
      <c r="I689" s="316"/>
      <c r="J689" s="316"/>
      <c r="K689" s="316"/>
    </row>
    <row r="690" spans="1:11" hidden="1" x14ac:dyDescent="0.2">
      <c r="A690" s="316"/>
      <c r="B690" s="316"/>
      <c r="C690" s="316"/>
      <c r="D690" s="316"/>
      <c r="E690" s="316"/>
      <c r="F690" s="316"/>
      <c r="G690" s="316"/>
      <c r="H690" s="316"/>
      <c r="I690" s="316"/>
      <c r="J690" s="316"/>
      <c r="K690" s="316"/>
    </row>
    <row r="691" spans="1:11" hidden="1" x14ac:dyDescent="0.2">
      <c r="A691" s="316"/>
      <c r="B691" s="316"/>
      <c r="C691" s="316"/>
      <c r="D691" s="316"/>
      <c r="E691" s="316"/>
      <c r="F691" s="316"/>
      <c r="G691" s="316"/>
      <c r="H691" s="316"/>
      <c r="I691" s="316"/>
      <c r="J691" s="316"/>
      <c r="K691" s="316"/>
    </row>
    <row r="692" spans="1:11" hidden="1" x14ac:dyDescent="0.2">
      <c r="A692" s="316"/>
      <c r="B692" s="316"/>
      <c r="C692" s="316"/>
      <c r="D692" s="316"/>
      <c r="E692" s="316"/>
      <c r="F692" s="316"/>
      <c r="G692" s="316"/>
      <c r="H692" s="316"/>
      <c r="I692" s="316"/>
      <c r="J692" s="316"/>
      <c r="K692" s="316"/>
    </row>
    <row r="693" spans="1:11" hidden="1" x14ac:dyDescent="0.2">
      <c r="A693" s="316"/>
      <c r="B693" s="316"/>
      <c r="C693" s="316"/>
      <c r="D693" s="316"/>
      <c r="E693" s="316"/>
      <c r="F693" s="316"/>
      <c r="G693" s="316"/>
      <c r="H693" s="316"/>
      <c r="I693" s="316"/>
      <c r="J693" s="316"/>
      <c r="K693" s="316"/>
    </row>
    <row r="694" spans="1:11" hidden="1" x14ac:dyDescent="0.2">
      <c r="A694" s="316"/>
      <c r="B694" s="316"/>
      <c r="C694" s="316"/>
      <c r="D694" s="316"/>
      <c r="E694" s="316"/>
      <c r="F694" s="316"/>
      <c r="G694" s="316"/>
      <c r="H694" s="316"/>
      <c r="I694" s="316"/>
      <c r="J694" s="316"/>
      <c r="K694" s="316"/>
    </row>
    <row r="695" spans="1:11" hidden="1" x14ac:dyDescent="0.2">
      <c r="A695" s="316"/>
      <c r="B695" s="316"/>
      <c r="C695" s="316"/>
      <c r="D695" s="316"/>
      <c r="E695" s="316"/>
      <c r="F695" s="316"/>
      <c r="G695" s="316"/>
      <c r="H695" s="316"/>
      <c r="I695" s="316"/>
      <c r="J695" s="316"/>
      <c r="K695" s="316"/>
    </row>
    <row r="696" spans="1:11" hidden="1" x14ac:dyDescent="0.2">
      <c r="A696" s="316"/>
      <c r="B696" s="316"/>
      <c r="C696" s="316"/>
      <c r="D696" s="316"/>
      <c r="E696" s="316"/>
      <c r="F696" s="316"/>
      <c r="G696" s="316"/>
      <c r="H696" s="316"/>
      <c r="I696" s="316"/>
      <c r="J696" s="316"/>
      <c r="K696" s="316"/>
    </row>
    <row r="697" spans="1:11" hidden="1" x14ac:dyDescent="0.2">
      <c r="A697" s="316"/>
      <c r="B697" s="316"/>
      <c r="C697" s="316"/>
      <c r="D697" s="316"/>
      <c r="E697" s="316"/>
      <c r="F697" s="316"/>
      <c r="G697" s="316"/>
      <c r="H697" s="316"/>
      <c r="I697" s="316"/>
      <c r="J697" s="316"/>
      <c r="K697" s="316"/>
    </row>
    <row r="698" spans="1:11" hidden="1" x14ac:dyDescent="0.2">
      <c r="A698" s="316"/>
      <c r="B698" s="316"/>
      <c r="C698" s="316"/>
      <c r="D698" s="316"/>
      <c r="E698" s="316"/>
      <c r="F698" s="316"/>
      <c r="G698" s="316"/>
      <c r="H698" s="316"/>
      <c r="I698" s="316"/>
      <c r="J698" s="316"/>
      <c r="K698" s="316"/>
    </row>
    <row r="699" spans="1:11" hidden="1" x14ac:dyDescent="0.2">
      <c r="A699" s="316"/>
      <c r="B699" s="316"/>
      <c r="C699" s="316"/>
      <c r="D699" s="316"/>
      <c r="E699" s="316"/>
      <c r="F699" s="316"/>
      <c r="G699" s="316"/>
      <c r="H699" s="316"/>
      <c r="I699" s="316"/>
      <c r="J699" s="316"/>
      <c r="K699" s="316"/>
    </row>
    <row r="700" spans="1:11" hidden="1" x14ac:dyDescent="0.2">
      <c r="A700" s="316"/>
      <c r="B700" s="316"/>
      <c r="C700" s="316"/>
      <c r="D700" s="316"/>
      <c r="E700" s="316"/>
      <c r="F700" s="316"/>
      <c r="G700" s="316"/>
      <c r="H700" s="316"/>
      <c r="I700" s="316"/>
      <c r="J700" s="316"/>
      <c r="K700" s="316"/>
    </row>
    <row r="701" spans="1:11" hidden="1" x14ac:dyDescent="0.2">
      <c r="A701" s="316"/>
      <c r="B701" s="316"/>
      <c r="C701" s="316"/>
      <c r="D701" s="316"/>
      <c r="E701" s="316"/>
      <c r="F701" s="316"/>
      <c r="G701" s="316"/>
      <c r="H701" s="316"/>
      <c r="I701" s="316"/>
      <c r="J701" s="316"/>
      <c r="K701" s="316"/>
    </row>
    <row r="702" spans="1:11" hidden="1" x14ac:dyDescent="0.2">
      <c r="A702" s="316"/>
      <c r="B702" s="316"/>
      <c r="C702" s="316"/>
      <c r="D702" s="316"/>
      <c r="E702" s="316"/>
      <c r="F702" s="316"/>
      <c r="G702" s="316"/>
      <c r="H702" s="316"/>
      <c r="I702" s="316"/>
      <c r="J702" s="316"/>
      <c r="K702" s="316"/>
    </row>
    <row r="703" spans="1:11" hidden="1" x14ac:dyDescent="0.2">
      <c r="A703" s="316"/>
      <c r="B703" s="316"/>
      <c r="C703" s="316"/>
      <c r="D703" s="316"/>
      <c r="E703" s="316"/>
      <c r="F703" s="316"/>
      <c r="G703" s="316"/>
      <c r="H703" s="316"/>
      <c r="I703" s="316"/>
      <c r="J703" s="316"/>
      <c r="K703" s="316"/>
    </row>
    <row r="704" spans="1:11" hidden="1" x14ac:dyDescent="0.2">
      <c r="A704" s="316"/>
      <c r="B704" s="316"/>
      <c r="C704" s="316"/>
      <c r="D704" s="316"/>
      <c r="E704" s="316"/>
      <c r="F704" s="316"/>
      <c r="G704" s="316"/>
      <c r="H704" s="316"/>
      <c r="I704" s="316"/>
      <c r="J704" s="316"/>
      <c r="K704" s="316"/>
    </row>
    <row r="705" spans="1:11" hidden="1" x14ac:dyDescent="0.2">
      <c r="A705" s="316"/>
      <c r="B705" s="316"/>
      <c r="C705" s="316"/>
      <c r="D705" s="316"/>
      <c r="E705" s="316"/>
      <c r="F705" s="316"/>
      <c r="G705" s="316"/>
      <c r="H705" s="316"/>
      <c r="I705" s="316"/>
      <c r="J705" s="316"/>
      <c r="K705" s="316"/>
    </row>
    <row r="706" spans="1:11" hidden="1" x14ac:dyDescent="0.2">
      <c r="A706" s="316"/>
      <c r="B706" s="316"/>
      <c r="C706" s="316"/>
      <c r="D706" s="316"/>
      <c r="E706" s="316"/>
      <c r="F706" s="316"/>
      <c r="G706" s="316"/>
      <c r="H706" s="316"/>
      <c r="I706" s="316"/>
      <c r="J706" s="316"/>
      <c r="K706" s="316"/>
    </row>
    <row r="707" spans="1:11" hidden="1" x14ac:dyDescent="0.2">
      <c r="A707" s="316"/>
      <c r="B707" s="316"/>
      <c r="C707" s="316"/>
      <c r="D707" s="316"/>
      <c r="E707" s="316"/>
      <c r="F707" s="316"/>
      <c r="G707" s="316"/>
      <c r="H707" s="316"/>
      <c r="I707" s="316"/>
      <c r="J707" s="316"/>
      <c r="K707" s="316"/>
    </row>
    <row r="708" spans="1:11" hidden="1" x14ac:dyDescent="0.2">
      <c r="A708" s="316"/>
      <c r="B708" s="316"/>
      <c r="C708" s="316"/>
      <c r="D708" s="316"/>
      <c r="E708" s="316"/>
      <c r="F708" s="316"/>
      <c r="G708" s="316"/>
      <c r="H708" s="316"/>
      <c r="I708" s="316"/>
      <c r="J708" s="316"/>
      <c r="K708" s="316"/>
    </row>
    <row r="709" spans="1:11" hidden="1" x14ac:dyDescent="0.2">
      <c r="A709" s="316"/>
      <c r="B709" s="316"/>
      <c r="C709" s="316"/>
      <c r="D709" s="316"/>
      <c r="E709" s="316"/>
      <c r="F709" s="316"/>
      <c r="G709" s="316"/>
      <c r="H709" s="316"/>
      <c r="I709" s="316"/>
      <c r="J709" s="316"/>
      <c r="K709" s="316"/>
    </row>
    <row r="710" spans="1:11" hidden="1" x14ac:dyDescent="0.2">
      <c r="A710" s="316"/>
      <c r="B710" s="316"/>
      <c r="C710" s="316"/>
      <c r="D710" s="316"/>
      <c r="E710" s="316"/>
      <c r="F710" s="316"/>
      <c r="G710" s="316"/>
      <c r="H710" s="316"/>
      <c r="I710" s="316"/>
      <c r="J710" s="316"/>
      <c r="K710" s="316"/>
    </row>
    <row r="711" spans="1:11" hidden="1" x14ac:dyDescent="0.2">
      <c r="A711" s="316"/>
      <c r="B711" s="316"/>
      <c r="C711" s="316"/>
      <c r="D711" s="316"/>
      <c r="E711" s="316"/>
      <c r="F711" s="316"/>
      <c r="G711" s="316"/>
      <c r="H711" s="316"/>
      <c r="I711" s="316"/>
      <c r="J711" s="316"/>
      <c r="K711" s="316"/>
    </row>
    <row r="712" spans="1:11" hidden="1" x14ac:dyDescent="0.2">
      <c r="A712" s="316"/>
      <c r="B712" s="316"/>
      <c r="C712" s="316"/>
      <c r="D712" s="316"/>
      <c r="E712" s="316"/>
      <c r="F712" s="316"/>
      <c r="G712" s="316"/>
      <c r="H712" s="316"/>
      <c r="I712" s="316"/>
      <c r="J712" s="316"/>
      <c r="K712" s="316"/>
    </row>
    <row r="713" spans="1:11" hidden="1" x14ac:dyDescent="0.2">
      <c r="A713" s="316"/>
      <c r="B713" s="316"/>
      <c r="C713" s="316"/>
      <c r="D713" s="316"/>
      <c r="E713" s="316"/>
      <c r="F713" s="316"/>
      <c r="G713" s="316"/>
      <c r="H713" s="316"/>
      <c r="I713" s="316"/>
      <c r="J713" s="316"/>
      <c r="K713" s="316"/>
    </row>
    <row r="714" spans="1:11" hidden="1" x14ac:dyDescent="0.2">
      <c r="A714" s="316"/>
      <c r="B714" s="316"/>
      <c r="C714" s="316"/>
      <c r="D714" s="316"/>
      <c r="E714" s="316"/>
      <c r="F714" s="316"/>
      <c r="G714" s="316"/>
      <c r="H714" s="316"/>
      <c r="I714" s="316"/>
      <c r="J714" s="316"/>
      <c r="K714" s="316"/>
    </row>
    <row r="715" spans="1:11" hidden="1" x14ac:dyDescent="0.2">
      <c r="A715" s="316"/>
      <c r="B715" s="316"/>
      <c r="C715" s="316"/>
      <c r="D715" s="316"/>
      <c r="E715" s="316"/>
      <c r="F715" s="316"/>
      <c r="G715" s="316"/>
      <c r="H715" s="316"/>
      <c r="I715" s="316"/>
      <c r="J715" s="316"/>
      <c r="K715" s="316"/>
    </row>
    <row r="716" spans="1:11" hidden="1" x14ac:dyDescent="0.2">
      <c r="A716" s="316"/>
      <c r="B716" s="316"/>
      <c r="C716" s="316"/>
      <c r="D716" s="316"/>
      <c r="E716" s="316"/>
      <c r="F716" s="316"/>
      <c r="G716" s="316"/>
      <c r="H716" s="316"/>
      <c r="I716" s="316"/>
      <c r="J716" s="316"/>
      <c r="K716" s="316"/>
    </row>
    <row r="717" spans="1:11" hidden="1" x14ac:dyDescent="0.2">
      <c r="A717" s="316"/>
      <c r="B717" s="316"/>
      <c r="C717" s="316"/>
      <c r="D717" s="316"/>
      <c r="E717" s="316"/>
      <c r="F717" s="316"/>
      <c r="G717" s="316"/>
      <c r="H717" s="316"/>
      <c r="I717" s="316"/>
      <c r="J717" s="316"/>
      <c r="K717" s="316"/>
    </row>
    <row r="718" spans="1:11" hidden="1" x14ac:dyDescent="0.2">
      <c r="A718" s="316"/>
      <c r="B718" s="316"/>
      <c r="C718" s="316"/>
      <c r="D718" s="316"/>
      <c r="E718" s="316"/>
      <c r="F718" s="316"/>
      <c r="G718" s="316"/>
      <c r="H718" s="316"/>
      <c r="I718" s="316"/>
      <c r="J718" s="316"/>
      <c r="K718" s="316"/>
    </row>
    <row r="719" spans="1:11" hidden="1" x14ac:dyDescent="0.2">
      <c r="A719" s="316"/>
      <c r="B719" s="316"/>
      <c r="C719" s="316"/>
      <c r="D719" s="316"/>
      <c r="E719" s="316"/>
      <c r="F719" s="316"/>
      <c r="G719" s="316"/>
      <c r="H719" s="316"/>
      <c r="I719" s="316"/>
      <c r="J719" s="316"/>
      <c r="K719" s="316"/>
    </row>
    <row r="720" spans="1:11" hidden="1" x14ac:dyDescent="0.2">
      <c r="A720" s="316"/>
      <c r="B720" s="316"/>
      <c r="C720" s="316"/>
      <c r="D720" s="316"/>
      <c r="E720" s="316"/>
      <c r="F720" s="316"/>
      <c r="G720" s="316"/>
      <c r="H720" s="316"/>
      <c r="I720" s="316"/>
      <c r="J720" s="316"/>
      <c r="K720" s="316"/>
    </row>
    <row r="721" spans="1:11" hidden="1" x14ac:dyDescent="0.2">
      <c r="A721" s="316"/>
      <c r="B721" s="316"/>
      <c r="C721" s="316"/>
      <c r="D721" s="316"/>
      <c r="E721" s="316"/>
      <c r="F721" s="316"/>
      <c r="G721" s="316"/>
      <c r="H721" s="316"/>
      <c r="I721" s="316"/>
      <c r="J721" s="316"/>
      <c r="K721" s="316"/>
    </row>
    <row r="722" spans="1:11" hidden="1" x14ac:dyDescent="0.2">
      <c r="A722" s="316"/>
      <c r="B722" s="316"/>
      <c r="C722" s="316"/>
      <c r="D722" s="316"/>
      <c r="E722" s="316"/>
      <c r="F722" s="316"/>
      <c r="G722" s="316"/>
      <c r="H722" s="316"/>
      <c r="I722" s="316"/>
      <c r="J722" s="316"/>
      <c r="K722" s="316"/>
    </row>
    <row r="723" spans="1:11" hidden="1" x14ac:dyDescent="0.2">
      <c r="A723" s="316"/>
      <c r="B723" s="316"/>
      <c r="C723" s="316"/>
      <c r="D723" s="316"/>
      <c r="E723" s="316"/>
      <c r="F723" s="316"/>
      <c r="G723" s="316"/>
      <c r="H723" s="316"/>
      <c r="I723" s="316"/>
      <c r="J723" s="316"/>
      <c r="K723" s="316"/>
    </row>
    <row r="724" spans="1:11" hidden="1" x14ac:dyDescent="0.2">
      <c r="A724" s="316"/>
      <c r="B724" s="316"/>
      <c r="C724" s="316"/>
      <c r="D724" s="316"/>
      <c r="E724" s="316"/>
      <c r="F724" s="316"/>
      <c r="G724" s="316"/>
      <c r="H724" s="316"/>
      <c r="I724" s="316"/>
      <c r="J724" s="316"/>
      <c r="K724" s="316"/>
    </row>
    <row r="725" spans="1:11" hidden="1" x14ac:dyDescent="0.2">
      <c r="A725" s="316"/>
      <c r="B725" s="316"/>
      <c r="C725" s="316"/>
      <c r="D725" s="316"/>
      <c r="E725" s="316"/>
      <c r="F725" s="316"/>
      <c r="G725" s="316"/>
      <c r="H725" s="316"/>
      <c r="I725" s="316"/>
      <c r="J725" s="316"/>
      <c r="K725" s="316"/>
    </row>
    <row r="726" spans="1:11" hidden="1" x14ac:dyDescent="0.2">
      <c r="A726" s="316"/>
      <c r="B726" s="316"/>
      <c r="C726" s="316"/>
      <c r="D726" s="316"/>
      <c r="E726" s="316"/>
      <c r="F726" s="316"/>
      <c r="G726" s="316"/>
      <c r="H726" s="316"/>
      <c r="I726" s="316"/>
      <c r="J726" s="316"/>
      <c r="K726" s="316"/>
    </row>
    <row r="727" spans="1:11" hidden="1" x14ac:dyDescent="0.2">
      <c r="A727" s="316"/>
      <c r="B727" s="316"/>
      <c r="C727" s="316"/>
      <c r="D727" s="316"/>
      <c r="E727" s="316"/>
      <c r="F727" s="316"/>
      <c r="G727" s="316"/>
      <c r="H727" s="316"/>
      <c r="I727" s="316"/>
      <c r="J727" s="316"/>
      <c r="K727" s="316"/>
    </row>
    <row r="728" spans="1:11" hidden="1" x14ac:dyDescent="0.2">
      <c r="A728" s="316"/>
      <c r="B728" s="316"/>
      <c r="C728" s="316"/>
      <c r="D728" s="316"/>
      <c r="E728" s="316"/>
      <c r="F728" s="316"/>
      <c r="G728" s="316"/>
      <c r="H728" s="316"/>
      <c r="I728" s="316"/>
      <c r="J728" s="316"/>
      <c r="K728" s="316"/>
    </row>
    <row r="729" spans="1:11" hidden="1" x14ac:dyDescent="0.2">
      <c r="A729" s="316"/>
      <c r="B729" s="316"/>
      <c r="C729" s="316"/>
      <c r="D729" s="316"/>
      <c r="E729" s="316"/>
      <c r="F729" s="316"/>
      <c r="G729" s="316"/>
      <c r="H729" s="316"/>
      <c r="I729" s="316"/>
      <c r="J729" s="316"/>
      <c r="K729" s="316"/>
    </row>
    <row r="730" spans="1:11" hidden="1" x14ac:dyDescent="0.2">
      <c r="A730" s="316"/>
      <c r="B730" s="316"/>
      <c r="C730" s="316"/>
      <c r="D730" s="316"/>
      <c r="E730" s="316"/>
      <c r="F730" s="316"/>
      <c r="G730" s="316"/>
      <c r="H730" s="316"/>
      <c r="I730" s="316"/>
      <c r="J730" s="316"/>
      <c r="K730" s="316"/>
    </row>
    <row r="731" spans="1:11" hidden="1" x14ac:dyDescent="0.2">
      <c r="A731" s="316"/>
      <c r="B731" s="316"/>
      <c r="C731" s="316"/>
      <c r="D731" s="316"/>
      <c r="E731" s="316"/>
      <c r="F731" s="316"/>
      <c r="G731" s="316"/>
      <c r="H731" s="316"/>
      <c r="I731" s="316"/>
      <c r="J731" s="316"/>
      <c r="K731" s="316"/>
    </row>
    <row r="732" spans="1:11" hidden="1" x14ac:dyDescent="0.2">
      <c r="A732" s="316"/>
      <c r="B732" s="316"/>
      <c r="C732" s="316"/>
      <c r="D732" s="316"/>
      <c r="E732" s="316"/>
      <c r="F732" s="316"/>
      <c r="G732" s="316"/>
      <c r="H732" s="316"/>
      <c r="I732" s="316"/>
      <c r="J732" s="316"/>
      <c r="K732" s="316"/>
    </row>
    <row r="733" spans="1:11" hidden="1" x14ac:dyDescent="0.2">
      <c r="A733" s="316"/>
      <c r="B733" s="316"/>
      <c r="C733" s="316"/>
      <c r="D733" s="316"/>
      <c r="E733" s="316"/>
      <c r="F733" s="316"/>
      <c r="G733" s="316"/>
      <c r="H733" s="316"/>
      <c r="I733" s="316"/>
      <c r="J733" s="316"/>
      <c r="K733" s="316"/>
    </row>
    <row r="734" spans="1:11" hidden="1" x14ac:dyDescent="0.2">
      <c r="A734" s="316"/>
      <c r="B734" s="316"/>
      <c r="C734" s="316"/>
      <c r="D734" s="316"/>
      <c r="E734" s="316"/>
      <c r="F734" s="316"/>
      <c r="G734" s="316"/>
      <c r="H734" s="316"/>
      <c r="I734" s="316"/>
      <c r="J734" s="316"/>
      <c r="K734" s="316"/>
    </row>
    <row r="735" spans="1:11" hidden="1" x14ac:dyDescent="0.2">
      <c r="A735" s="316"/>
      <c r="B735" s="316"/>
      <c r="C735" s="316"/>
      <c r="D735" s="316"/>
      <c r="E735" s="316"/>
      <c r="F735" s="316"/>
      <c r="G735" s="316"/>
      <c r="H735" s="316"/>
      <c r="I735" s="316"/>
      <c r="J735" s="316"/>
      <c r="K735" s="316"/>
    </row>
    <row r="736" spans="1:11" hidden="1" x14ac:dyDescent="0.2">
      <c r="A736" s="316"/>
      <c r="B736" s="316"/>
      <c r="C736" s="316"/>
      <c r="D736" s="316"/>
      <c r="E736" s="316"/>
      <c r="F736" s="316"/>
      <c r="G736" s="316"/>
      <c r="H736" s="316"/>
      <c r="I736" s="316"/>
      <c r="J736" s="316"/>
      <c r="K736" s="316"/>
    </row>
    <row r="737" spans="1:11" hidden="1" x14ac:dyDescent="0.2">
      <c r="A737" s="316"/>
      <c r="B737" s="316"/>
      <c r="C737" s="316"/>
      <c r="D737" s="316"/>
      <c r="E737" s="316"/>
      <c r="F737" s="316"/>
      <c r="G737" s="316"/>
      <c r="H737" s="316"/>
      <c r="I737" s="316"/>
      <c r="J737" s="316"/>
      <c r="K737" s="316"/>
    </row>
    <row r="738" spans="1:11" hidden="1" x14ac:dyDescent="0.2">
      <c r="A738" s="316"/>
      <c r="B738" s="316"/>
      <c r="C738" s="316"/>
      <c r="D738" s="316"/>
      <c r="E738" s="316"/>
      <c r="F738" s="316"/>
      <c r="G738" s="316"/>
      <c r="H738" s="316"/>
      <c r="I738" s="316"/>
      <c r="J738" s="316"/>
      <c r="K738" s="316"/>
    </row>
    <row r="739" spans="1:11" hidden="1" x14ac:dyDescent="0.2">
      <c r="A739" s="316"/>
      <c r="B739" s="316"/>
      <c r="C739" s="316"/>
      <c r="D739" s="316"/>
      <c r="E739" s="316"/>
      <c r="F739" s="316"/>
      <c r="G739" s="316"/>
      <c r="H739" s="316"/>
      <c r="I739" s="316"/>
      <c r="J739" s="316"/>
      <c r="K739" s="316"/>
    </row>
    <row r="740" spans="1:11" hidden="1" x14ac:dyDescent="0.2">
      <c r="A740" s="316"/>
      <c r="B740" s="316"/>
      <c r="C740" s="316"/>
      <c r="D740" s="316"/>
      <c r="E740" s="316"/>
      <c r="F740" s="316"/>
      <c r="G740" s="316"/>
      <c r="H740" s="316"/>
      <c r="I740" s="316"/>
      <c r="J740" s="316"/>
      <c r="K740" s="316"/>
    </row>
    <row r="741" spans="1:11" hidden="1" x14ac:dyDescent="0.2">
      <c r="A741" s="316"/>
      <c r="B741" s="316"/>
      <c r="C741" s="316"/>
      <c r="D741" s="316"/>
      <c r="E741" s="316"/>
      <c r="F741" s="316"/>
      <c r="G741" s="316"/>
      <c r="H741" s="316"/>
      <c r="I741" s="316"/>
      <c r="J741" s="316"/>
      <c r="K741" s="316"/>
    </row>
    <row r="742" spans="1:11" hidden="1" x14ac:dyDescent="0.2">
      <c r="A742" s="316"/>
      <c r="B742" s="316"/>
      <c r="C742" s="316"/>
      <c r="D742" s="316"/>
      <c r="E742" s="316"/>
      <c r="F742" s="316"/>
      <c r="G742" s="316"/>
      <c r="H742" s="316"/>
      <c r="I742" s="316"/>
      <c r="J742" s="316"/>
      <c r="K742" s="316"/>
    </row>
    <row r="743" spans="1:11" hidden="1" x14ac:dyDescent="0.2">
      <c r="A743" s="316"/>
      <c r="B743" s="316"/>
      <c r="C743" s="316"/>
      <c r="D743" s="316"/>
      <c r="E743" s="316"/>
      <c r="F743" s="316"/>
      <c r="G743" s="316"/>
      <c r="H743" s="316"/>
      <c r="I743" s="316"/>
      <c r="J743" s="316"/>
      <c r="K743" s="316"/>
    </row>
    <row r="744" spans="1:11" hidden="1" x14ac:dyDescent="0.2">
      <c r="A744" s="316"/>
      <c r="B744" s="316"/>
      <c r="C744" s="316"/>
      <c r="D744" s="316"/>
      <c r="E744" s="316"/>
      <c r="F744" s="316"/>
      <c r="G744" s="316"/>
      <c r="H744" s="316"/>
      <c r="I744" s="316"/>
      <c r="J744" s="316"/>
      <c r="K744" s="316"/>
    </row>
    <row r="745" spans="1:11" hidden="1" x14ac:dyDescent="0.2">
      <c r="A745" s="316"/>
      <c r="B745" s="316"/>
      <c r="C745" s="316"/>
      <c r="D745" s="316"/>
      <c r="E745" s="316"/>
      <c r="F745" s="316"/>
      <c r="G745" s="316"/>
      <c r="H745" s="316"/>
      <c r="I745" s="316"/>
      <c r="J745" s="316"/>
      <c r="K745" s="316"/>
    </row>
    <row r="746" spans="1:11" hidden="1" x14ac:dyDescent="0.2">
      <c r="A746" s="316"/>
      <c r="B746" s="316"/>
      <c r="C746" s="316"/>
      <c r="D746" s="316"/>
      <c r="E746" s="316"/>
      <c r="F746" s="316"/>
      <c r="G746" s="316"/>
      <c r="H746" s="316"/>
      <c r="I746" s="316"/>
      <c r="J746" s="316"/>
      <c r="K746" s="316"/>
    </row>
    <row r="747" spans="1:11" hidden="1" x14ac:dyDescent="0.2">
      <c r="A747" s="316"/>
      <c r="B747" s="316"/>
      <c r="C747" s="316"/>
      <c r="D747" s="316"/>
      <c r="E747" s="316"/>
      <c r="F747" s="316"/>
      <c r="G747" s="316"/>
      <c r="H747" s="316"/>
      <c r="I747" s="316"/>
      <c r="J747" s="316"/>
      <c r="K747" s="316"/>
    </row>
    <row r="748" spans="1:11" hidden="1" x14ac:dyDescent="0.2">
      <c r="A748" s="316"/>
      <c r="B748" s="316"/>
      <c r="C748" s="316"/>
      <c r="D748" s="316"/>
      <c r="E748" s="316"/>
      <c r="F748" s="316"/>
      <c r="G748" s="316"/>
      <c r="H748" s="316"/>
      <c r="I748" s="316"/>
      <c r="J748" s="316"/>
      <c r="K748" s="316"/>
    </row>
    <row r="749" spans="1:11" hidden="1" x14ac:dyDescent="0.2">
      <c r="A749" s="316"/>
      <c r="B749" s="316"/>
      <c r="C749" s="316"/>
      <c r="D749" s="316"/>
      <c r="E749" s="316"/>
      <c r="F749" s="316"/>
      <c r="G749" s="316"/>
      <c r="H749" s="316"/>
      <c r="I749" s="316"/>
      <c r="J749" s="316"/>
      <c r="K749" s="316"/>
    </row>
    <row r="750" spans="1:11" hidden="1" x14ac:dyDescent="0.2">
      <c r="A750" s="316"/>
      <c r="B750" s="316"/>
      <c r="C750" s="316"/>
      <c r="D750" s="316"/>
      <c r="E750" s="316"/>
      <c r="F750" s="316"/>
      <c r="G750" s="316"/>
      <c r="H750" s="316"/>
      <c r="I750" s="316"/>
      <c r="J750" s="316"/>
      <c r="K750" s="316"/>
    </row>
    <row r="751" spans="1:11" hidden="1" x14ac:dyDescent="0.2">
      <c r="A751" s="316"/>
      <c r="B751" s="316"/>
      <c r="C751" s="316"/>
      <c r="D751" s="316"/>
      <c r="E751" s="316"/>
      <c r="F751" s="316"/>
      <c r="G751" s="316"/>
      <c r="H751" s="316"/>
      <c r="I751" s="316"/>
      <c r="J751" s="316"/>
      <c r="K751" s="316"/>
    </row>
    <row r="752" spans="1:11" hidden="1" x14ac:dyDescent="0.2">
      <c r="A752" s="316"/>
      <c r="B752" s="316"/>
      <c r="C752" s="316"/>
      <c r="D752" s="316"/>
      <c r="E752" s="316"/>
      <c r="F752" s="316"/>
      <c r="G752" s="316"/>
      <c r="H752" s="316"/>
      <c r="I752" s="316"/>
      <c r="J752" s="316"/>
      <c r="K752" s="316"/>
    </row>
    <row r="753" spans="1:11" hidden="1" x14ac:dyDescent="0.2">
      <c r="A753" s="316"/>
      <c r="B753" s="316"/>
      <c r="C753" s="316"/>
      <c r="D753" s="316"/>
      <c r="E753" s="316"/>
      <c r="F753" s="316"/>
      <c r="G753" s="316"/>
      <c r="H753" s="316"/>
      <c r="I753" s="316"/>
      <c r="J753" s="316"/>
      <c r="K753" s="316"/>
    </row>
    <row r="754" spans="1:11" hidden="1" x14ac:dyDescent="0.2">
      <c r="A754" s="316"/>
      <c r="B754" s="316"/>
      <c r="C754" s="316"/>
      <c r="D754" s="316"/>
      <c r="E754" s="316"/>
      <c r="F754" s="316"/>
      <c r="G754" s="316"/>
      <c r="H754" s="316"/>
      <c r="I754" s="316"/>
      <c r="J754" s="316"/>
      <c r="K754" s="316"/>
    </row>
    <row r="755" spans="1:11" hidden="1" x14ac:dyDescent="0.2">
      <c r="A755" s="316"/>
      <c r="B755" s="316"/>
      <c r="C755" s="316"/>
      <c r="D755" s="316"/>
      <c r="E755" s="316"/>
      <c r="F755" s="316"/>
      <c r="G755" s="316"/>
      <c r="H755" s="316"/>
      <c r="I755" s="316"/>
      <c r="J755" s="316"/>
      <c r="K755" s="316"/>
    </row>
    <row r="756" spans="1:11" hidden="1" x14ac:dyDescent="0.2">
      <c r="A756" s="316"/>
      <c r="B756" s="316"/>
      <c r="C756" s="316"/>
      <c r="D756" s="316"/>
      <c r="E756" s="316"/>
      <c r="F756" s="316"/>
      <c r="G756" s="316"/>
      <c r="H756" s="316"/>
      <c r="I756" s="316"/>
      <c r="J756" s="316"/>
      <c r="K756" s="316"/>
    </row>
    <row r="757" spans="1:11" hidden="1" x14ac:dyDescent="0.2">
      <c r="A757" s="316"/>
      <c r="B757" s="316"/>
      <c r="C757" s="316"/>
      <c r="D757" s="316"/>
      <c r="E757" s="316"/>
      <c r="F757" s="316"/>
      <c r="G757" s="316"/>
      <c r="H757" s="316"/>
      <c r="I757" s="316"/>
      <c r="J757" s="316"/>
      <c r="K757" s="316"/>
    </row>
    <row r="758" spans="1:11" hidden="1" x14ac:dyDescent="0.2">
      <c r="A758" s="316"/>
      <c r="B758" s="316"/>
      <c r="C758" s="316"/>
      <c r="D758" s="316"/>
      <c r="E758" s="316"/>
      <c r="F758" s="316"/>
      <c r="G758" s="316"/>
      <c r="H758" s="316"/>
      <c r="I758" s="316"/>
      <c r="J758" s="316"/>
      <c r="K758" s="316"/>
    </row>
    <row r="759" spans="1:11" hidden="1" x14ac:dyDescent="0.2">
      <c r="A759" s="316"/>
      <c r="B759" s="316"/>
      <c r="C759" s="316"/>
      <c r="D759" s="316"/>
      <c r="E759" s="316"/>
      <c r="F759" s="316"/>
      <c r="G759" s="316"/>
      <c r="H759" s="316"/>
      <c r="I759" s="316"/>
      <c r="J759" s="316"/>
      <c r="K759" s="316"/>
    </row>
    <row r="760" spans="1:11" hidden="1" x14ac:dyDescent="0.2">
      <c r="A760" s="316"/>
      <c r="B760" s="316"/>
      <c r="C760" s="316"/>
      <c r="D760" s="316"/>
      <c r="E760" s="316"/>
      <c r="F760" s="316"/>
      <c r="G760" s="316"/>
      <c r="H760" s="316"/>
      <c r="I760" s="316"/>
      <c r="J760" s="316"/>
      <c r="K760" s="316"/>
    </row>
    <row r="761" spans="1:11" hidden="1" x14ac:dyDescent="0.2">
      <c r="A761" s="316"/>
      <c r="B761" s="316"/>
      <c r="C761" s="316"/>
      <c r="D761" s="316"/>
      <c r="E761" s="316"/>
      <c r="F761" s="316"/>
      <c r="G761" s="316"/>
      <c r="H761" s="316"/>
      <c r="I761" s="316"/>
      <c r="J761" s="316"/>
      <c r="K761" s="316"/>
    </row>
    <row r="762" spans="1:11" hidden="1" x14ac:dyDescent="0.2">
      <c r="A762" s="316"/>
      <c r="B762" s="316"/>
      <c r="C762" s="316"/>
      <c r="D762" s="316"/>
      <c r="E762" s="316"/>
      <c r="F762" s="316"/>
      <c r="G762" s="316"/>
      <c r="H762" s="316"/>
      <c r="I762" s="316"/>
      <c r="J762" s="316"/>
      <c r="K762" s="316"/>
    </row>
    <row r="763" spans="1:11" hidden="1" x14ac:dyDescent="0.2">
      <c r="A763" s="316"/>
      <c r="B763" s="316"/>
      <c r="C763" s="316"/>
      <c r="D763" s="316"/>
      <c r="E763" s="316"/>
      <c r="F763" s="316"/>
      <c r="G763" s="316"/>
      <c r="H763" s="316"/>
      <c r="I763" s="316"/>
      <c r="J763" s="316"/>
      <c r="K763" s="316"/>
    </row>
    <row r="764" spans="1:11" hidden="1" x14ac:dyDescent="0.2">
      <c r="A764" s="316"/>
      <c r="B764" s="316"/>
      <c r="C764" s="316"/>
      <c r="D764" s="316"/>
      <c r="E764" s="316"/>
      <c r="F764" s="316"/>
      <c r="G764" s="316"/>
      <c r="H764" s="316"/>
      <c r="I764" s="316"/>
      <c r="J764" s="316"/>
      <c r="K764" s="316"/>
    </row>
    <row r="765" spans="1:11" hidden="1" x14ac:dyDescent="0.2">
      <c r="A765" s="316"/>
      <c r="B765" s="316"/>
      <c r="C765" s="316"/>
      <c r="D765" s="316"/>
      <c r="E765" s="316"/>
      <c r="F765" s="316"/>
      <c r="G765" s="316"/>
      <c r="H765" s="316"/>
      <c r="I765" s="316"/>
      <c r="J765" s="316"/>
      <c r="K765" s="316"/>
    </row>
    <row r="766" spans="1:11" hidden="1" x14ac:dyDescent="0.2">
      <c r="A766" s="316"/>
      <c r="B766" s="316"/>
      <c r="C766" s="316"/>
      <c r="D766" s="316"/>
      <c r="E766" s="316"/>
      <c r="F766" s="316"/>
      <c r="G766" s="316"/>
      <c r="H766" s="316"/>
      <c r="I766" s="316"/>
      <c r="J766" s="316"/>
      <c r="K766" s="316"/>
    </row>
    <row r="767" spans="1:11" hidden="1" x14ac:dyDescent="0.2">
      <c r="A767" s="316"/>
      <c r="B767" s="316"/>
      <c r="C767" s="316"/>
      <c r="D767" s="316"/>
      <c r="E767" s="316"/>
      <c r="F767" s="316"/>
      <c r="G767" s="316"/>
      <c r="H767" s="316"/>
      <c r="I767" s="316"/>
      <c r="J767" s="316"/>
      <c r="K767" s="316"/>
    </row>
    <row r="768" spans="1:11" hidden="1" x14ac:dyDescent="0.2">
      <c r="A768" s="316"/>
      <c r="B768" s="316"/>
      <c r="C768" s="316"/>
      <c r="D768" s="316"/>
      <c r="E768" s="316"/>
      <c r="F768" s="316"/>
      <c r="G768" s="316"/>
      <c r="H768" s="316"/>
      <c r="I768" s="316"/>
      <c r="J768" s="316"/>
      <c r="K768" s="316"/>
    </row>
    <row r="769" spans="1:11" hidden="1" x14ac:dyDescent="0.2">
      <c r="A769" s="316"/>
      <c r="B769" s="316"/>
      <c r="C769" s="316"/>
      <c r="D769" s="316"/>
      <c r="E769" s="316"/>
      <c r="F769" s="316"/>
      <c r="G769" s="316"/>
      <c r="H769" s="316"/>
      <c r="I769" s="316"/>
      <c r="J769" s="316"/>
      <c r="K769" s="316"/>
    </row>
    <row r="770" spans="1:11" hidden="1" x14ac:dyDescent="0.2">
      <c r="A770" s="316"/>
      <c r="B770" s="316"/>
      <c r="C770" s="316"/>
      <c r="D770" s="316"/>
      <c r="E770" s="316"/>
      <c r="F770" s="316"/>
      <c r="G770" s="316"/>
      <c r="H770" s="316"/>
      <c r="I770" s="316"/>
      <c r="J770" s="316"/>
      <c r="K770" s="316"/>
    </row>
    <row r="771" spans="1:11" hidden="1" x14ac:dyDescent="0.2">
      <c r="A771" s="316"/>
      <c r="B771" s="316"/>
      <c r="C771" s="316"/>
      <c r="D771" s="316"/>
      <c r="E771" s="316"/>
      <c r="F771" s="316"/>
      <c r="G771" s="316"/>
      <c r="H771" s="316"/>
      <c r="I771" s="316"/>
      <c r="J771" s="316"/>
      <c r="K771" s="316"/>
    </row>
    <row r="772" spans="1:11" hidden="1" x14ac:dyDescent="0.2">
      <c r="A772" s="316"/>
      <c r="B772" s="316"/>
      <c r="C772" s="316"/>
      <c r="D772" s="316"/>
      <c r="E772" s="316"/>
      <c r="F772" s="316"/>
      <c r="G772" s="316"/>
      <c r="H772" s="316"/>
      <c r="I772" s="316"/>
      <c r="J772" s="316"/>
      <c r="K772" s="316"/>
    </row>
    <row r="773" spans="1:11" hidden="1" x14ac:dyDescent="0.2">
      <c r="A773" s="316"/>
      <c r="B773" s="316"/>
      <c r="C773" s="316"/>
      <c r="D773" s="316"/>
      <c r="E773" s="316"/>
      <c r="F773" s="316"/>
      <c r="G773" s="316"/>
      <c r="H773" s="316"/>
      <c r="I773" s="316"/>
      <c r="J773" s="316"/>
      <c r="K773" s="316"/>
    </row>
    <row r="774" spans="1:11" hidden="1" x14ac:dyDescent="0.2">
      <c r="A774" s="316"/>
      <c r="B774" s="316"/>
      <c r="C774" s="316"/>
      <c r="D774" s="316"/>
      <c r="E774" s="316"/>
      <c r="F774" s="316"/>
      <c r="G774" s="316"/>
      <c r="H774" s="316"/>
      <c r="I774" s="316"/>
      <c r="J774" s="316"/>
      <c r="K774" s="316"/>
    </row>
    <row r="775" spans="1:11" hidden="1" x14ac:dyDescent="0.2">
      <c r="A775" s="316"/>
      <c r="B775" s="316"/>
      <c r="C775" s="316"/>
      <c r="D775" s="316"/>
      <c r="E775" s="316"/>
      <c r="F775" s="316"/>
      <c r="G775" s="316"/>
      <c r="H775" s="316"/>
      <c r="I775" s="316"/>
      <c r="J775" s="316"/>
      <c r="K775" s="316"/>
    </row>
    <row r="776" spans="1:11" hidden="1" x14ac:dyDescent="0.2">
      <c r="A776" s="316"/>
      <c r="B776" s="316"/>
      <c r="C776" s="316"/>
      <c r="D776" s="316"/>
      <c r="E776" s="316"/>
      <c r="F776" s="316"/>
      <c r="G776" s="316"/>
      <c r="H776" s="316"/>
      <c r="I776" s="316"/>
      <c r="J776" s="316"/>
      <c r="K776" s="316"/>
    </row>
    <row r="777" spans="1:11" hidden="1" x14ac:dyDescent="0.2">
      <c r="A777" s="316"/>
      <c r="B777" s="316"/>
      <c r="C777" s="316"/>
      <c r="D777" s="316"/>
      <c r="E777" s="316"/>
      <c r="F777" s="316"/>
      <c r="G777" s="316"/>
      <c r="H777" s="316"/>
      <c r="I777" s="316"/>
      <c r="J777" s="316"/>
      <c r="K777" s="316"/>
    </row>
    <row r="778" spans="1:11" hidden="1" x14ac:dyDescent="0.2">
      <c r="A778" s="316"/>
      <c r="B778" s="316"/>
      <c r="C778" s="316"/>
      <c r="D778" s="316"/>
      <c r="E778" s="316"/>
      <c r="F778" s="316"/>
      <c r="G778" s="316"/>
      <c r="H778" s="316"/>
      <c r="I778" s="316"/>
      <c r="J778" s="316"/>
      <c r="K778" s="316"/>
    </row>
    <row r="779" spans="1:11" hidden="1" x14ac:dyDescent="0.2">
      <c r="A779" s="316"/>
      <c r="B779" s="316"/>
      <c r="C779" s="316"/>
      <c r="D779" s="316"/>
      <c r="E779" s="316"/>
      <c r="F779" s="316"/>
      <c r="G779" s="316"/>
      <c r="H779" s="316"/>
      <c r="I779" s="316"/>
      <c r="J779" s="316"/>
      <c r="K779" s="316"/>
    </row>
    <row r="780" spans="1:11" hidden="1" x14ac:dyDescent="0.2">
      <c r="A780" s="316"/>
      <c r="B780" s="316"/>
      <c r="C780" s="316"/>
      <c r="D780" s="316"/>
      <c r="E780" s="316"/>
      <c r="F780" s="316"/>
      <c r="G780" s="316"/>
      <c r="H780" s="316"/>
      <c r="I780" s="316"/>
      <c r="J780" s="316"/>
      <c r="K780" s="316"/>
    </row>
    <row r="781" spans="1:11" hidden="1" x14ac:dyDescent="0.2">
      <c r="A781" s="316"/>
      <c r="B781" s="316"/>
      <c r="C781" s="316"/>
      <c r="D781" s="316"/>
      <c r="E781" s="316"/>
      <c r="F781" s="316"/>
      <c r="G781" s="316"/>
      <c r="H781" s="316"/>
      <c r="I781" s="316"/>
      <c r="J781" s="316"/>
      <c r="K781" s="316"/>
    </row>
    <row r="782" spans="1:11" hidden="1" x14ac:dyDescent="0.2">
      <c r="A782" s="316"/>
      <c r="B782" s="316"/>
      <c r="C782" s="316"/>
      <c r="D782" s="316"/>
      <c r="E782" s="316"/>
      <c r="F782" s="316"/>
      <c r="G782" s="316"/>
      <c r="H782" s="316"/>
      <c r="I782" s="316"/>
      <c r="J782" s="316"/>
      <c r="K782" s="316"/>
    </row>
    <row r="783" spans="1:11" hidden="1" x14ac:dyDescent="0.2">
      <c r="A783" s="316"/>
      <c r="B783" s="316"/>
      <c r="C783" s="316"/>
      <c r="D783" s="316"/>
      <c r="E783" s="316"/>
      <c r="F783" s="316"/>
      <c r="G783" s="316"/>
      <c r="H783" s="316"/>
      <c r="I783" s="316"/>
      <c r="J783" s="316"/>
      <c r="K783" s="316"/>
    </row>
    <row r="784" spans="1:11" hidden="1" x14ac:dyDescent="0.2">
      <c r="A784" s="316"/>
      <c r="B784" s="316"/>
      <c r="C784" s="316"/>
      <c r="D784" s="316"/>
      <c r="E784" s="316"/>
      <c r="F784" s="316"/>
      <c r="G784" s="316"/>
      <c r="H784" s="316"/>
      <c r="I784" s="316"/>
      <c r="J784" s="316"/>
      <c r="K784" s="316"/>
    </row>
    <row r="785" spans="1:11" hidden="1" x14ac:dyDescent="0.2">
      <c r="A785" s="316"/>
      <c r="B785" s="316"/>
      <c r="C785" s="316"/>
      <c r="D785" s="316"/>
      <c r="E785" s="316"/>
      <c r="F785" s="316"/>
      <c r="G785" s="316"/>
      <c r="H785" s="316"/>
      <c r="I785" s="316"/>
      <c r="J785" s="316"/>
      <c r="K785" s="316"/>
    </row>
    <row r="786" spans="1:11" hidden="1" x14ac:dyDescent="0.2">
      <c r="A786" s="316"/>
      <c r="B786" s="316"/>
      <c r="C786" s="316"/>
      <c r="D786" s="316"/>
      <c r="E786" s="316"/>
      <c r="F786" s="316"/>
      <c r="G786" s="316"/>
      <c r="H786" s="316"/>
      <c r="I786" s="316"/>
      <c r="J786" s="316"/>
      <c r="K786" s="316"/>
    </row>
    <row r="787" spans="1:11" hidden="1" x14ac:dyDescent="0.2">
      <c r="A787" s="316"/>
      <c r="B787" s="316"/>
      <c r="C787" s="316"/>
      <c r="D787" s="316"/>
      <c r="E787" s="316"/>
      <c r="F787" s="316"/>
      <c r="G787" s="316"/>
      <c r="H787" s="316"/>
      <c r="I787" s="316"/>
      <c r="J787" s="316"/>
      <c r="K787" s="316"/>
    </row>
    <row r="788" spans="1:11" hidden="1" x14ac:dyDescent="0.2">
      <c r="A788" s="316"/>
      <c r="B788" s="316"/>
      <c r="C788" s="316"/>
      <c r="D788" s="316"/>
      <c r="E788" s="316"/>
      <c r="F788" s="316"/>
      <c r="G788" s="316"/>
      <c r="H788" s="316"/>
      <c r="I788" s="316"/>
      <c r="J788" s="316"/>
      <c r="K788" s="316"/>
    </row>
    <row r="789" spans="1:11" hidden="1" x14ac:dyDescent="0.2">
      <c r="A789" s="316"/>
      <c r="B789" s="316"/>
      <c r="C789" s="316"/>
      <c r="D789" s="316"/>
      <c r="E789" s="316"/>
      <c r="F789" s="316"/>
      <c r="G789" s="316"/>
      <c r="H789" s="316"/>
      <c r="I789" s="316"/>
      <c r="J789" s="316"/>
      <c r="K789" s="316"/>
    </row>
    <row r="790" spans="1:11" hidden="1" x14ac:dyDescent="0.2">
      <c r="A790" s="316"/>
      <c r="B790" s="316"/>
      <c r="C790" s="316"/>
      <c r="D790" s="316"/>
      <c r="E790" s="316"/>
      <c r="F790" s="316"/>
      <c r="G790" s="316"/>
      <c r="H790" s="316"/>
      <c r="I790" s="316"/>
      <c r="J790" s="316"/>
      <c r="K790" s="316"/>
    </row>
    <row r="791" spans="1:11" hidden="1" x14ac:dyDescent="0.2">
      <c r="A791" s="316"/>
      <c r="B791" s="316"/>
      <c r="C791" s="316"/>
      <c r="D791" s="316"/>
      <c r="E791" s="316"/>
      <c r="F791" s="316"/>
      <c r="G791" s="316"/>
      <c r="H791" s="316"/>
      <c r="I791" s="316"/>
      <c r="J791" s="316"/>
      <c r="K791" s="316"/>
    </row>
    <row r="792" spans="1:11" hidden="1" x14ac:dyDescent="0.2">
      <c r="A792" s="316"/>
      <c r="B792" s="316"/>
      <c r="C792" s="316"/>
      <c r="D792" s="316"/>
      <c r="E792" s="316"/>
      <c r="F792" s="316"/>
      <c r="G792" s="316"/>
      <c r="H792" s="316"/>
      <c r="I792" s="316"/>
      <c r="J792" s="316"/>
      <c r="K792" s="316"/>
    </row>
    <row r="793" spans="1:11" hidden="1" x14ac:dyDescent="0.2">
      <c r="A793" s="316"/>
      <c r="B793" s="316"/>
      <c r="C793" s="316"/>
      <c r="D793" s="316"/>
      <c r="E793" s="316"/>
      <c r="F793" s="316"/>
      <c r="G793" s="316"/>
      <c r="H793" s="316"/>
      <c r="I793" s="316"/>
      <c r="J793" s="316"/>
      <c r="K793" s="316"/>
    </row>
    <row r="794" spans="1:11" hidden="1" x14ac:dyDescent="0.2">
      <c r="A794" s="316"/>
      <c r="B794" s="316"/>
      <c r="C794" s="316"/>
      <c r="D794" s="316"/>
      <c r="E794" s="316"/>
      <c r="F794" s="316"/>
      <c r="G794" s="316"/>
      <c r="H794" s="316"/>
      <c r="I794" s="316"/>
      <c r="J794" s="316"/>
      <c r="K794" s="316"/>
    </row>
    <row r="795" spans="1:11" hidden="1" x14ac:dyDescent="0.2">
      <c r="A795" s="316"/>
      <c r="B795" s="316"/>
      <c r="C795" s="316"/>
      <c r="D795" s="316"/>
      <c r="E795" s="316"/>
      <c r="F795" s="316"/>
      <c r="G795" s="316"/>
      <c r="H795" s="316"/>
      <c r="I795" s="316"/>
      <c r="J795" s="316"/>
      <c r="K795" s="316"/>
    </row>
    <row r="796" spans="1:11" hidden="1" x14ac:dyDescent="0.2">
      <c r="A796" s="316"/>
      <c r="B796" s="316"/>
      <c r="C796" s="316"/>
      <c r="D796" s="316"/>
      <c r="E796" s="316"/>
      <c r="F796" s="316"/>
      <c r="G796" s="316"/>
      <c r="H796" s="316"/>
      <c r="I796" s="316"/>
      <c r="J796" s="316"/>
      <c r="K796" s="316"/>
    </row>
    <row r="797" spans="1:11" hidden="1" x14ac:dyDescent="0.2">
      <c r="A797" s="316"/>
      <c r="B797" s="316"/>
      <c r="C797" s="316"/>
      <c r="D797" s="316"/>
      <c r="E797" s="316"/>
      <c r="F797" s="316"/>
      <c r="G797" s="316"/>
      <c r="H797" s="316"/>
      <c r="I797" s="316"/>
      <c r="J797" s="316"/>
      <c r="K797" s="316"/>
    </row>
    <row r="798" spans="1:11" hidden="1" x14ac:dyDescent="0.2">
      <c r="A798" s="316"/>
      <c r="B798" s="316"/>
      <c r="C798" s="316"/>
      <c r="D798" s="316"/>
      <c r="E798" s="316"/>
      <c r="F798" s="316"/>
      <c r="G798" s="316"/>
      <c r="H798" s="316"/>
      <c r="I798" s="316"/>
      <c r="J798" s="316"/>
      <c r="K798" s="316"/>
    </row>
    <row r="799" spans="1:11" hidden="1" x14ac:dyDescent="0.2">
      <c r="A799" s="316"/>
      <c r="B799" s="316"/>
      <c r="C799" s="316"/>
      <c r="D799" s="316"/>
      <c r="E799" s="316"/>
      <c r="F799" s="316"/>
      <c r="G799" s="316"/>
      <c r="H799" s="316"/>
      <c r="I799" s="316"/>
      <c r="J799" s="316"/>
      <c r="K799" s="316"/>
    </row>
    <row r="800" spans="1:11" hidden="1" x14ac:dyDescent="0.2">
      <c r="A800" s="316"/>
      <c r="B800" s="316"/>
      <c r="C800" s="316"/>
      <c r="D800" s="316"/>
      <c r="E800" s="316"/>
      <c r="F800" s="316"/>
      <c r="G800" s="316"/>
      <c r="H800" s="316"/>
      <c r="I800" s="316"/>
      <c r="J800" s="316"/>
      <c r="K800" s="316"/>
    </row>
    <row r="801" spans="1:11" hidden="1" x14ac:dyDescent="0.2">
      <c r="A801" s="316"/>
      <c r="B801" s="316"/>
      <c r="C801" s="316"/>
      <c r="D801" s="316"/>
      <c r="E801" s="316"/>
      <c r="F801" s="316"/>
      <c r="G801" s="316"/>
      <c r="H801" s="316"/>
      <c r="I801" s="316"/>
      <c r="J801" s="316"/>
      <c r="K801" s="316"/>
    </row>
    <row r="802" spans="1:11" hidden="1" x14ac:dyDescent="0.2">
      <c r="A802" s="316"/>
      <c r="B802" s="316"/>
      <c r="C802" s="316"/>
      <c r="D802" s="316"/>
      <c r="E802" s="316"/>
      <c r="F802" s="316"/>
      <c r="G802" s="316"/>
      <c r="H802" s="316"/>
      <c r="I802" s="316"/>
      <c r="J802" s="316"/>
      <c r="K802" s="316"/>
    </row>
    <row r="803" spans="1:11" hidden="1" x14ac:dyDescent="0.2">
      <c r="A803" s="316"/>
      <c r="B803" s="316"/>
      <c r="C803" s="316"/>
      <c r="D803" s="316"/>
      <c r="E803" s="316"/>
      <c r="F803" s="316"/>
      <c r="G803" s="316"/>
      <c r="H803" s="316"/>
      <c r="I803" s="316"/>
      <c r="J803" s="316"/>
      <c r="K803" s="316"/>
    </row>
    <row r="804" spans="1:11" hidden="1" x14ac:dyDescent="0.2">
      <c r="A804" s="316"/>
      <c r="B804" s="316"/>
      <c r="C804" s="316"/>
      <c r="D804" s="316"/>
      <c r="E804" s="316"/>
      <c r="F804" s="316"/>
      <c r="G804" s="316"/>
      <c r="H804" s="316"/>
      <c r="I804" s="316"/>
      <c r="J804" s="316"/>
      <c r="K804" s="316"/>
    </row>
    <row r="805" spans="1:11" hidden="1" x14ac:dyDescent="0.2">
      <c r="A805" s="316"/>
      <c r="B805" s="316"/>
      <c r="C805" s="316"/>
      <c r="D805" s="316"/>
      <c r="E805" s="316"/>
      <c r="F805" s="316"/>
      <c r="G805" s="316"/>
      <c r="H805" s="316"/>
      <c r="I805" s="316"/>
      <c r="J805" s="316"/>
      <c r="K805" s="316"/>
    </row>
    <row r="806" spans="1:11" hidden="1" x14ac:dyDescent="0.2">
      <c r="A806" s="316"/>
      <c r="B806" s="316"/>
      <c r="C806" s="316"/>
      <c r="D806" s="316"/>
      <c r="E806" s="316"/>
      <c r="F806" s="316"/>
      <c r="G806" s="316"/>
      <c r="H806" s="316"/>
      <c r="I806" s="316"/>
      <c r="J806" s="316"/>
      <c r="K806" s="316"/>
    </row>
    <row r="807" spans="1:11" hidden="1" x14ac:dyDescent="0.2">
      <c r="A807" s="316"/>
      <c r="B807" s="316"/>
      <c r="C807" s="316"/>
      <c r="D807" s="316"/>
      <c r="E807" s="316"/>
      <c r="F807" s="316"/>
      <c r="G807" s="316"/>
      <c r="H807" s="316"/>
      <c r="I807" s="316"/>
      <c r="J807" s="316"/>
      <c r="K807" s="316"/>
    </row>
    <row r="808" spans="1:11" hidden="1" x14ac:dyDescent="0.2">
      <c r="A808" s="316"/>
      <c r="B808" s="316"/>
      <c r="C808" s="316"/>
      <c r="D808" s="316"/>
      <c r="E808" s="316"/>
      <c r="F808" s="316"/>
      <c r="G808" s="316"/>
      <c r="H808" s="316"/>
      <c r="I808" s="316"/>
      <c r="J808" s="316"/>
      <c r="K808" s="316"/>
    </row>
    <row r="809" spans="1:11" hidden="1" x14ac:dyDescent="0.2">
      <c r="A809" s="316"/>
      <c r="B809" s="316"/>
      <c r="C809" s="316"/>
      <c r="D809" s="316"/>
      <c r="E809" s="316"/>
      <c r="F809" s="316"/>
      <c r="G809" s="316"/>
      <c r="H809" s="316"/>
      <c r="I809" s="316"/>
      <c r="J809" s="316"/>
      <c r="K809" s="316"/>
    </row>
    <row r="810" spans="1:11" hidden="1" x14ac:dyDescent="0.2">
      <c r="A810" s="316"/>
      <c r="B810" s="316"/>
      <c r="C810" s="316"/>
      <c r="D810" s="316"/>
      <c r="E810" s="316"/>
      <c r="F810" s="316"/>
      <c r="G810" s="316"/>
      <c r="H810" s="316"/>
      <c r="I810" s="316"/>
      <c r="J810" s="316"/>
      <c r="K810" s="316"/>
    </row>
    <row r="811" spans="1:11" hidden="1" x14ac:dyDescent="0.2">
      <c r="A811" s="316"/>
      <c r="B811" s="316"/>
      <c r="C811" s="316"/>
      <c r="D811" s="316"/>
      <c r="E811" s="316"/>
      <c r="F811" s="316"/>
      <c r="G811" s="316"/>
      <c r="H811" s="316"/>
      <c r="I811" s="316"/>
      <c r="J811" s="316"/>
      <c r="K811" s="316"/>
    </row>
    <row r="812" spans="1:11" hidden="1" x14ac:dyDescent="0.2">
      <c r="A812" s="316"/>
      <c r="B812" s="316"/>
      <c r="C812" s="316"/>
      <c r="D812" s="316"/>
      <c r="E812" s="316"/>
      <c r="F812" s="316"/>
      <c r="G812" s="316"/>
      <c r="H812" s="316"/>
      <c r="I812" s="316"/>
      <c r="J812" s="316"/>
      <c r="K812" s="316"/>
    </row>
    <row r="813" spans="1:11" hidden="1" x14ac:dyDescent="0.2">
      <c r="A813" s="316"/>
      <c r="B813" s="316"/>
      <c r="C813" s="316"/>
      <c r="D813" s="316"/>
      <c r="E813" s="316"/>
      <c r="F813" s="316"/>
      <c r="G813" s="316"/>
      <c r="H813" s="316"/>
      <c r="I813" s="316"/>
      <c r="J813" s="316"/>
      <c r="K813" s="316"/>
    </row>
    <row r="814" spans="1:11" hidden="1" x14ac:dyDescent="0.2">
      <c r="A814" s="316"/>
      <c r="B814" s="316"/>
      <c r="C814" s="316"/>
      <c r="D814" s="316"/>
      <c r="E814" s="316"/>
      <c r="F814" s="316"/>
      <c r="G814" s="316"/>
      <c r="H814" s="316"/>
      <c r="I814" s="316"/>
      <c r="J814" s="316"/>
      <c r="K814" s="316"/>
    </row>
    <row r="815" spans="1:11" hidden="1" x14ac:dyDescent="0.2">
      <c r="A815" s="316"/>
      <c r="B815" s="316"/>
      <c r="C815" s="316"/>
      <c r="D815" s="316"/>
      <c r="E815" s="316"/>
      <c r="F815" s="316"/>
      <c r="G815" s="316"/>
      <c r="H815" s="316"/>
      <c r="I815" s="316"/>
      <c r="J815" s="316"/>
      <c r="K815" s="316"/>
    </row>
    <row r="816" spans="1:11" hidden="1" x14ac:dyDescent="0.2">
      <c r="A816" s="316"/>
      <c r="B816" s="316"/>
      <c r="C816" s="316"/>
      <c r="D816" s="316"/>
      <c r="E816" s="316"/>
      <c r="F816" s="316"/>
      <c r="G816" s="316"/>
      <c r="H816" s="316"/>
      <c r="I816" s="316"/>
      <c r="J816" s="316"/>
      <c r="K816" s="316"/>
    </row>
    <row r="817" spans="1:11" hidden="1" x14ac:dyDescent="0.2">
      <c r="A817" s="316"/>
      <c r="B817" s="316"/>
      <c r="C817" s="316"/>
      <c r="D817" s="316"/>
      <c r="E817" s="316"/>
      <c r="F817" s="316"/>
      <c r="G817" s="316"/>
      <c r="H817" s="316"/>
      <c r="I817" s="316"/>
      <c r="J817" s="316"/>
      <c r="K817" s="316"/>
    </row>
    <row r="818" spans="1:11" hidden="1" x14ac:dyDescent="0.2">
      <c r="A818" s="316"/>
      <c r="B818" s="316"/>
      <c r="C818" s="316"/>
      <c r="D818" s="316"/>
      <c r="E818" s="316"/>
      <c r="F818" s="316"/>
      <c r="G818" s="316"/>
      <c r="H818" s="316"/>
      <c r="I818" s="316"/>
      <c r="J818" s="316"/>
      <c r="K818" s="316"/>
    </row>
    <row r="819" spans="1:11" hidden="1" x14ac:dyDescent="0.2">
      <c r="A819" s="316"/>
      <c r="B819" s="316"/>
      <c r="C819" s="316"/>
      <c r="D819" s="316"/>
      <c r="E819" s="316"/>
      <c r="F819" s="316"/>
      <c r="G819" s="316"/>
      <c r="H819" s="316"/>
      <c r="I819" s="316"/>
      <c r="J819" s="316"/>
      <c r="K819" s="316"/>
    </row>
    <row r="820" spans="1:11" hidden="1" x14ac:dyDescent="0.2">
      <c r="A820" s="316"/>
      <c r="B820" s="316"/>
      <c r="C820" s="316"/>
      <c r="D820" s="316"/>
      <c r="E820" s="316"/>
      <c r="F820" s="316"/>
      <c r="G820" s="316"/>
      <c r="H820" s="316"/>
      <c r="I820" s="316"/>
      <c r="J820" s="316"/>
      <c r="K820" s="316"/>
    </row>
    <row r="821" spans="1:11" hidden="1" x14ac:dyDescent="0.2">
      <c r="A821" s="316"/>
      <c r="B821" s="316"/>
      <c r="C821" s="316"/>
      <c r="D821" s="316"/>
      <c r="E821" s="316"/>
      <c r="F821" s="316"/>
      <c r="G821" s="316"/>
      <c r="H821" s="316"/>
      <c r="I821" s="316"/>
      <c r="J821" s="316"/>
      <c r="K821" s="316"/>
    </row>
    <row r="822" spans="1:11" hidden="1" x14ac:dyDescent="0.2">
      <c r="A822" s="316"/>
      <c r="B822" s="316"/>
      <c r="C822" s="316"/>
      <c r="D822" s="316"/>
      <c r="E822" s="316"/>
      <c r="F822" s="316"/>
      <c r="G822" s="316"/>
      <c r="H822" s="316"/>
      <c r="I822" s="316"/>
      <c r="J822" s="316"/>
      <c r="K822" s="316"/>
    </row>
    <row r="823" spans="1:11" hidden="1" x14ac:dyDescent="0.2">
      <c r="A823" s="316"/>
      <c r="B823" s="316"/>
      <c r="C823" s="316"/>
      <c r="D823" s="316"/>
      <c r="E823" s="316"/>
      <c r="F823" s="316"/>
      <c r="G823" s="316"/>
      <c r="H823" s="316"/>
      <c r="I823" s="316"/>
      <c r="J823" s="316"/>
      <c r="K823" s="316"/>
    </row>
    <row r="824" spans="1:11" hidden="1" x14ac:dyDescent="0.2">
      <c r="A824" s="316"/>
      <c r="B824" s="316"/>
      <c r="C824" s="316"/>
      <c r="D824" s="316"/>
      <c r="E824" s="316"/>
      <c r="F824" s="316"/>
      <c r="G824" s="316"/>
      <c r="H824" s="316"/>
      <c r="I824" s="316"/>
      <c r="J824" s="316"/>
      <c r="K824" s="316"/>
    </row>
    <row r="825" spans="1:11" hidden="1" x14ac:dyDescent="0.2">
      <c r="A825" s="316"/>
      <c r="B825" s="316"/>
      <c r="C825" s="316"/>
      <c r="D825" s="316"/>
      <c r="E825" s="316"/>
      <c r="F825" s="316"/>
      <c r="G825" s="316"/>
      <c r="H825" s="316"/>
      <c r="I825" s="316"/>
      <c r="J825" s="316"/>
      <c r="K825" s="316"/>
    </row>
    <row r="826" spans="1:11" hidden="1" x14ac:dyDescent="0.2">
      <c r="A826" s="316"/>
      <c r="B826" s="316"/>
      <c r="C826" s="316"/>
      <c r="D826" s="316"/>
      <c r="E826" s="316"/>
      <c r="F826" s="316"/>
      <c r="G826" s="316"/>
      <c r="H826" s="316"/>
      <c r="I826" s="316"/>
      <c r="J826" s="316"/>
      <c r="K826" s="316"/>
    </row>
    <row r="827" spans="1:11" hidden="1" x14ac:dyDescent="0.2">
      <c r="A827" s="316"/>
      <c r="B827" s="316"/>
      <c r="C827" s="316"/>
      <c r="D827" s="316"/>
      <c r="E827" s="316"/>
      <c r="F827" s="316"/>
      <c r="G827" s="316"/>
      <c r="H827" s="316"/>
      <c r="I827" s="316"/>
      <c r="J827" s="316"/>
      <c r="K827" s="316"/>
    </row>
    <row r="828" spans="1:11" hidden="1" x14ac:dyDescent="0.2">
      <c r="A828" s="316"/>
      <c r="B828" s="316"/>
      <c r="C828" s="316"/>
      <c r="D828" s="316"/>
      <c r="E828" s="316"/>
      <c r="F828" s="316"/>
      <c r="G828" s="316"/>
      <c r="H828" s="316"/>
      <c r="I828" s="316"/>
      <c r="J828" s="316"/>
      <c r="K828" s="316"/>
    </row>
    <row r="829" spans="1:11" hidden="1" x14ac:dyDescent="0.2">
      <c r="A829" s="316"/>
      <c r="B829" s="316"/>
      <c r="C829" s="316"/>
      <c r="D829" s="316"/>
      <c r="E829" s="316"/>
      <c r="F829" s="316"/>
      <c r="G829" s="316"/>
      <c r="H829" s="316"/>
      <c r="I829" s="316"/>
      <c r="J829" s="316"/>
      <c r="K829" s="316"/>
    </row>
    <row r="830" spans="1:11" hidden="1" x14ac:dyDescent="0.2">
      <c r="A830" s="316"/>
      <c r="B830" s="316"/>
      <c r="C830" s="316"/>
      <c r="D830" s="316"/>
      <c r="E830" s="316"/>
      <c r="F830" s="316"/>
      <c r="G830" s="316"/>
      <c r="H830" s="316"/>
      <c r="I830" s="316"/>
      <c r="J830" s="316"/>
      <c r="K830" s="316"/>
    </row>
    <row r="831" spans="1:11" hidden="1" x14ac:dyDescent="0.2">
      <c r="A831" s="316"/>
      <c r="B831" s="316"/>
      <c r="C831" s="316"/>
      <c r="D831" s="316"/>
      <c r="E831" s="316"/>
      <c r="F831" s="316"/>
      <c r="G831" s="316"/>
      <c r="H831" s="316"/>
      <c r="I831" s="316"/>
      <c r="J831" s="316"/>
      <c r="K831" s="316"/>
    </row>
    <row r="832" spans="1:11" hidden="1" x14ac:dyDescent="0.2">
      <c r="A832" s="316"/>
      <c r="B832" s="316"/>
      <c r="C832" s="316"/>
      <c r="D832" s="316"/>
      <c r="E832" s="316"/>
      <c r="F832" s="316"/>
      <c r="G832" s="316"/>
      <c r="H832" s="316"/>
      <c r="I832" s="316"/>
      <c r="J832" s="316"/>
      <c r="K832" s="316"/>
    </row>
    <row r="833" spans="1:11" hidden="1" x14ac:dyDescent="0.2">
      <c r="A833" s="316"/>
      <c r="B833" s="316"/>
      <c r="C833" s="316"/>
      <c r="D833" s="316"/>
      <c r="E833" s="316"/>
      <c r="F833" s="316"/>
      <c r="G833" s="316"/>
      <c r="H833" s="316"/>
      <c r="I833" s="316"/>
      <c r="J833" s="316"/>
      <c r="K833" s="316"/>
    </row>
    <row r="834" spans="1:11" hidden="1" x14ac:dyDescent="0.2">
      <c r="A834" s="316"/>
      <c r="B834" s="316"/>
      <c r="C834" s="316"/>
      <c r="D834" s="316"/>
      <c r="E834" s="316"/>
      <c r="F834" s="316"/>
      <c r="G834" s="316"/>
      <c r="H834" s="316"/>
      <c r="I834" s="316"/>
      <c r="J834" s="316"/>
      <c r="K834" s="316"/>
    </row>
    <row r="835" spans="1:11" hidden="1" x14ac:dyDescent="0.2">
      <c r="A835" s="316"/>
      <c r="B835" s="316"/>
      <c r="C835" s="316"/>
      <c r="D835" s="316"/>
      <c r="E835" s="316"/>
      <c r="F835" s="316"/>
      <c r="G835" s="316"/>
      <c r="H835" s="316"/>
      <c r="I835" s="316"/>
      <c r="J835" s="316"/>
      <c r="K835" s="316"/>
    </row>
    <row r="836" spans="1:11" hidden="1" x14ac:dyDescent="0.2">
      <c r="A836" s="316"/>
      <c r="B836" s="316"/>
      <c r="C836" s="316"/>
      <c r="D836" s="316"/>
      <c r="E836" s="316"/>
      <c r="F836" s="316"/>
      <c r="G836" s="316"/>
      <c r="H836" s="316"/>
      <c r="I836" s="316"/>
      <c r="J836" s="316"/>
      <c r="K836" s="316"/>
    </row>
    <row r="837" spans="1:11" hidden="1" x14ac:dyDescent="0.2">
      <c r="A837" s="316"/>
      <c r="B837" s="316"/>
      <c r="C837" s="316"/>
      <c r="D837" s="316"/>
      <c r="E837" s="316"/>
      <c r="F837" s="316"/>
      <c r="G837" s="316"/>
      <c r="H837" s="316"/>
      <c r="I837" s="316"/>
      <c r="J837" s="316"/>
      <c r="K837" s="316"/>
    </row>
    <row r="838" spans="1:11" hidden="1" x14ac:dyDescent="0.2">
      <c r="A838" s="316"/>
      <c r="B838" s="316"/>
      <c r="C838" s="316"/>
      <c r="D838" s="316"/>
      <c r="E838" s="316"/>
      <c r="F838" s="316"/>
      <c r="G838" s="316"/>
      <c r="H838" s="316"/>
      <c r="I838" s="316"/>
      <c r="J838" s="316"/>
      <c r="K838" s="316"/>
    </row>
    <row r="839" spans="1:11" hidden="1" x14ac:dyDescent="0.2">
      <c r="A839" s="316"/>
      <c r="B839" s="316"/>
      <c r="C839" s="316"/>
      <c r="D839" s="316"/>
      <c r="E839" s="316"/>
      <c r="F839" s="316"/>
      <c r="G839" s="316"/>
      <c r="H839" s="316"/>
      <c r="I839" s="316"/>
      <c r="J839" s="316"/>
      <c r="K839" s="316"/>
    </row>
    <row r="840" spans="1:11" hidden="1" x14ac:dyDescent="0.2">
      <c r="A840" s="316"/>
      <c r="B840" s="316"/>
      <c r="C840" s="316"/>
      <c r="D840" s="316"/>
      <c r="E840" s="316"/>
      <c r="F840" s="316"/>
      <c r="G840" s="316"/>
      <c r="H840" s="316"/>
      <c r="I840" s="316"/>
      <c r="J840" s="316"/>
      <c r="K840" s="316"/>
    </row>
    <row r="841" spans="1:11" hidden="1" x14ac:dyDescent="0.2">
      <c r="A841" s="316"/>
      <c r="B841" s="316"/>
      <c r="C841" s="316"/>
      <c r="D841" s="316"/>
      <c r="E841" s="316"/>
      <c r="F841" s="316"/>
      <c r="G841" s="316"/>
      <c r="H841" s="316"/>
      <c r="I841" s="316"/>
      <c r="J841" s="316"/>
      <c r="K841" s="316"/>
    </row>
    <row r="842" spans="1:11" hidden="1" x14ac:dyDescent="0.2">
      <c r="A842" s="316"/>
      <c r="B842" s="316"/>
      <c r="C842" s="316"/>
      <c r="D842" s="316"/>
      <c r="E842" s="316"/>
      <c r="F842" s="316"/>
      <c r="G842" s="316"/>
      <c r="H842" s="316"/>
      <c r="I842" s="316"/>
      <c r="J842" s="316"/>
      <c r="K842" s="316"/>
    </row>
    <row r="843" spans="1:11" hidden="1" x14ac:dyDescent="0.2">
      <c r="A843" s="316"/>
      <c r="B843" s="316"/>
      <c r="C843" s="316"/>
      <c r="D843" s="316"/>
      <c r="E843" s="316"/>
      <c r="F843" s="316"/>
      <c r="G843" s="316"/>
      <c r="H843" s="316"/>
      <c r="I843" s="316"/>
      <c r="J843" s="316"/>
      <c r="K843" s="316"/>
    </row>
    <row r="844" spans="1:11" hidden="1" x14ac:dyDescent="0.2">
      <c r="A844" s="316"/>
      <c r="B844" s="316"/>
      <c r="C844" s="316"/>
      <c r="D844" s="316"/>
      <c r="E844" s="316"/>
      <c r="F844" s="316"/>
      <c r="G844" s="316"/>
      <c r="H844" s="316"/>
      <c r="I844" s="316"/>
      <c r="J844" s="316"/>
      <c r="K844" s="316"/>
    </row>
    <row r="845" spans="1:11" hidden="1" x14ac:dyDescent="0.2">
      <c r="A845" s="316"/>
      <c r="B845" s="316"/>
      <c r="C845" s="316"/>
      <c r="D845" s="316"/>
      <c r="E845" s="316"/>
      <c r="F845" s="316"/>
      <c r="G845" s="316"/>
      <c r="H845" s="316"/>
      <c r="I845" s="316"/>
      <c r="J845" s="316"/>
      <c r="K845" s="316"/>
    </row>
    <row r="846" spans="1:11" hidden="1" x14ac:dyDescent="0.2">
      <c r="A846" s="316"/>
      <c r="B846" s="316"/>
      <c r="C846" s="316"/>
      <c r="D846" s="316"/>
      <c r="E846" s="316"/>
      <c r="F846" s="316"/>
      <c r="G846" s="316"/>
      <c r="H846" s="316"/>
      <c r="I846" s="316"/>
      <c r="J846" s="316"/>
      <c r="K846" s="316"/>
    </row>
    <row r="847" spans="1:11" hidden="1" x14ac:dyDescent="0.2">
      <c r="A847" s="316"/>
      <c r="B847" s="316"/>
      <c r="C847" s="316"/>
      <c r="D847" s="316"/>
      <c r="E847" s="316"/>
      <c r="F847" s="316"/>
      <c r="G847" s="316"/>
      <c r="H847" s="316"/>
      <c r="I847" s="316"/>
      <c r="J847" s="316"/>
      <c r="K847" s="316"/>
    </row>
    <row r="848" spans="1:11" hidden="1" x14ac:dyDescent="0.2">
      <c r="A848" s="316"/>
      <c r="B848" s="316"/>
      <c r="C848" s="316"/>
      <c r="D848" s="316"/>
      <c r="E848" s="316"/>
      <c r="F848" s="316"/>
      <c r="G848" s="316"/>
      <c r="H848" s="316"/>
      <c r="I848" s="316"/>
      <c r="J848" s="316"/>
      <c r="K848" s="316"/>
    </row>
    <row r="849" spans="1:11" hidden="1" x14ac:dyDescent="0.2">
      <c r="A849" s="316"/>
      <c r="B849" s="316"/>
      <c r="C849" s="316"/>
      <c r="D849" s="316"/>
      <c r="E849" s="316"/>
      <c r="F849" s="316"/>
      <c r="G849" s="316"/>
      <c r="H849" s="316"/>
      <c r="I849" s="316"/>
      <c r="J849" s="316"/>
      <c r="K849" s="316"/>
    </row>
    <row r="850" spans="1:11" hidden="1" x14ac:dyDescent="0.2">
      <c r="A850" s="316"/>
      <c r="B850" s="316"/>
      <c r="C850" s="316"/>
      <c r="D850" s="316"/>
      <c r="E850" s="316"/>
      <c r="F850" s="316"/>
      <c r="G850" s="316"/>
      <c r="H850" s="316"/>
      <c r="I850" s="316"/>
      <c r="J850" s="316"/>
      <c r="K850" s="316"/>
    </row>
    <row r="851" spans="1:11" hidden="1" x14ac:dyDescent="0.2">
      <c r="A851" s="316"/>
      <c r="B851" s="316"/>
      <c r="C851" s="316"/>
      <c r="D851" s="316"/>
      <c r="E851" s="316"/>
      <c r="F851" s="316"/>
      <c r="G851" s="316"/>
      <c r="H851" s="316"/>
      <c r="I851" s="316"/>
      <c r="J851" s="316"/>
      <c r="K851" s="316"/>
    </row>
    <row r="852" spans="1:11" hidden="1" x14ac:dyDescent="0.2">
      <c r="A852" s="316"/>
      <c r="B852" s="316"/>
      <c r="C852" s="316"/>
      <c r="D852" s="316"/>
      <c r="E852" s="316"/>
      <c r="F852" s="316"/>
      <c r="G852" s="316"/>
      <c r="H852" s="316"/>
      <c r="I852" s="316"/>
      <c r="J852" s="316"/>
      <c r="K852" s="316"/>
    </row>
    <row r="853" spans="1:11" hidden="1" x14ac:dyDescent="0.2">
      <c r="A853" s="316"/>
      <c r="B853" s="316"/>
      <c r="C853" s="316"/>
      <c r="D853" s="316"/>
      <c r="E853" s="316"/>
      <c r="F853" s="316"/>
      <c r="G853" s="316"/>
      <c r="H853" s="316"/>
      <c r="I853" s="316"/>
      <c r="J853" s="316"/>
      <c r="K853" s="316"/>
    </row>
    <row r="854" spans="1:11" hidden="1" x14ac:dyDescent="0.2">
      <c r="A854" s="316"/>
      <c r="B854" s="316"/>
      <c r="C854" s="316"/>
      <c r="D854" s="316"/>
      <c r="E854" s="316"/>
      <c r="F854" s="316"/>
      <c r="G854" s="316"/>
      <c r="H854" s="316"/>
      <c r="I854" s="316"/>
      <c r="J854" s="316"/>
      <c r="K854" s="316"/>
    </row>
    <row r="855" spans="1:11" hidden="1" x14ac:dyDescent="0.2">
      <c r="A855" s="316"/>
      <c r="B855" s="316"/>
      <c r="C855" s="316"/>
      <c r="D855" s="316"/>
      <c r="E855" s="316"/>
      <c r="F855" s="316"/>
      <c r="G855" s="316"/>
      <c r="H855" s="316"/>
      <c r="I855" s="316"/>
      <c r="J855" s="316"/>
      <c r="K855" s="316"/>
    </row>
    <row r="856" spans="1:11" hidden="1" x14ac:dyDescent="0.2">
      <c r="A856" s="316"/>
      <c r="B856" s="316"/>
      <c r="C856" s="316"/>
      <c r="D856" s="316"/>
      <c r="E856" s="316"/>
      <c r="F856" s="316"/>
      <c r="G856" s="316"/>
      <c r="H856" s="316"/>
      <c r="I856" s="316"/>
      <c r="J856" s="316"/>
      <c r="K856" s="316"/>
    </row>
    <row r="857" spans="1:11" hidden="1" x14ac:dyDescent="0.2">
      <c r="A857" s="316"/>
      <c r="B857" s="316"/>
      <c r="C857" s="316"/>
      <c r="D857" s="316"/>
      <c r="E857" s="316"/>
      <c r="F857" s="316"/>
      <c r="G857" s="316"/>
      <c r="H857" s="316"/>
      <c r="I857" s="316"/>
      <c r="J857" s="316"/>
      <c r="K857" s="316"/>
    </row>
    <row r="858" spans="1:11" hidden="1" x14ac:dyDescent="0.2">
      <c r="A858" s="316"/>
      <c r="B858" s="316"/>
      <c r="C858" s="316"/>
      <c r="D858" s="316"/>
      <c r="E858" s="316"/>
      <c r="F858" s="316"/>
      <c r="G858" s="316"/>
      <c r="H858" s="316"/>
      <c r="I858" s="316"/>
      <c r="J858" s="316"/>
      <c r="K858" s="316"/>
    </row>
    <row r="859" spans="1:11" hidden="1" x14ac:dyDescent="0.2">
      <c r="A859" s="316"/>
      <c r="B859" s="316"/>
      <c r="C859" s="316"/>
      <c r="D859" s="316"/>
      <c r="E859" s="316"/>
      <c r="F859" s="316"/>
      <c r="G859" s="316"/>
      <c r="H859" s="316"/>
      <c r="I859" s="316"/>
      <c r="J859" s="316"/>
      <c r="K859" s="316"/>
    </row>
    <row r="860" spans="1:11" hidden="1" x14ac:dyDescent="0.2">
      <c r="A860" s="316"/>
      <c r="B860" s="316"/>
      <c r="C860" s="316"/>
      <c r="D860" s="316"/>
      <c r="E860" s="316"/>
      <c r="F860" s="316"/>
      <c r="G860" s="316"/>
      <c r="H860" s="316"/>
      <c r="I860" s="316"/>
      <c r="J860" s="316"/>
      <c r="K860" s="316"/>
    </row>
    <row r="861" spans="1:11" hidden="1" x14ac:dyDescent="0.2">
      <c r="A861" s="316"/>
      <c r="B861" s="316"/>
      <c r="C861" s="316"/>
      <c r="D861" s="316"/>
      <c r="E861" s="316"/>
      <c r="F861" s="316"/>
      <c r="G861" s="316"/>
      <c r="H861" s="316"/>
      <c r="I861" s="316"/>
      <c r="J861" s="316"/>
      <c r="K861" s="316"/>
    </row>
    <row r="862" spans="1:11" hidden="1" x14ac:dyDescent="0.2">
      <c r="A862" s="316"/>
      <c r="B862" s="316"/>
      <c r="C862" s="316"/>
      <c r="D862" s="316"/>
      <c r="E862" s="316"/>
      <c r="F862" s="316"/>
      <c r="G862" s="316"/>
      <c r="H862" s="316"/>
      <c r="I862" s="316"/>
      <c r="J862" s="316"/>
      <c r="K862" s="316"/>
    </row>
    <row r="863" spans="1:11" hidden="1" x14ac:dyDescent="0.2">
      <c r="A863" s="316"/>
      <c r="B863" s="316"/>
      <c r="C863" s="316"/>
      <c r="D863" s="316"/>
      <c r="E863" s="316"/>
      <c r="F863" s="316"/>
      <c r="G863" s="316"/>
      <c r="H863" s="316"/>
      <c r="I863" s="316"/>
      <c r="J863" s="316"/>
      <c r="K863" s="316"/>
    </row>
    <row r="864" spans="1:11" hidden="1" x14ac:dyDescent="0.2">
      <c r="A864" s="316"/>
      <c r="B864" s="316"/>
      <c r="C864" s="316"/>
      <c r="D864" s="316"/>
      <c r="E864" s="316"/>
      <c r="F864" s="316"/>
      <c r="G864" s="316"/>
      <c r="H864" s="316"/>
      <c r="I864" s="316"/>
      <c r="J864" s="316"/>
      <c r="K864" s="316"/>
    </row>
    <row r="865" spans="1:11" hidden="1" x14ac:dyDescent="0.2">
      <c r="A865" s="316"/>
      <c r="B865" s="316"/>
      <c r="C865" s="316"/>
      <c r="D865" s="316"/>
      <c r="E865" s="316"/>
      <c r="F865" s="316"/>
      <c r="G865" s="316"/>
      <c r="H865" s="316"/>
      <c r="I865" s="316"/>
      <c r="J865" s="316"/>
      <c r="K865" s="316"/>
    </row>
    <row r="866" spans="1:11" hidden="1" x14ac:dyDescent="0.2">
      <c r="A866" s="316"/>
      <c r="B866" s="316"/>
      <c r="C866" s="316"/>
      <c r="D866" s="316"/>
      <c r="E866" s="316"/>
      <c r="F866" s="316"/>
      <c r="G866" s="316"/>
      <c r="H866" s="316"/>
      <c r="I866" s="316"/>
      <c r="J866" s="316"/>
      <c r="K866" s="316"/>
    </row>
    <row r="867" spans="1:11" hidden="1" x14ac:dyDescent="0.2">
      <c r="A867" s="316"/>
      <c r="B867" s="316"/>
      <c r="C867" s="316"/>
      <c r="D867" s="316"/>
      <c r="E867" s="316"/>
      <c r="F867" s="316"/>
      <c r="G867" s="316"/>
      <c r="H867" s="316"/>
      <c r="I867" s="316"/>
      <c r="J867" s="316"/>
      <c r="K867" s="316"/>
    </row>
    <row r="868" spans="1:11" hidden="1" x14ac:dyDescent="0.2">
      <c r="A868" s="316"/>
      <c r="B868" s="316"/>
      <c r="C868" s="316"/>
      <c r="D868" s="316"/>
      <c r="E868" s="316"/>
      <c r="F868" s="316"/>
      <c r="G868" s="316"/>
      <c r="H868" s="316"/>
      <c r="I868" s="316"/>
      <c r="J868" s="316"/>
      <c r="K868" s="316"/>
    </row>
    <row r="869" spans="1:11" hidden="1" x14ac:dyDescent="0.2">
      <c r="A869" s="316"/>
      <c r="B869" s="316"/>
      <c r="C869" s="316"/>
      <c r="D869" s="316"/>
      <c r="E869" s="316"/>
      <c r="F869" s="316"/>
      <c r="G869" s="316"/>
      <c r="H869" s="316"/>
      <c r="I869" s="316"/>
      <c r="J869" s="316"/>
      <c r="K869" s="316"/>
    </row>
    <row r="870" spans="1:11" hidden="1" x14ac:dyDescent="0.2">
      <c r="A870" s="316"/>
      <c r="B870" s="316"/>
      <c r="C870" s="316"/>
      <c r="D870" s="316"/>
      <c r="E870" s="316"/>
      <c r="F870" s="316"/>
      <c r="G870" s="316"/>
      <c r="H870" s="316"/>
      <c r="I870" s="316"/>
      <c r="J870" s="316"/>
      <c r="K870" s="316"/>
    </row>
    <row r="871" spans="1:11" hidden="1" x14ac:dyDescent="0.2">
      <c r="A871" s="316"/>
      <c r="B871" s="316"/>
      <c r="C871" s="316"/>
      <c r="D871" s="316"/>
      <c r="E871" s="316"/>
      <c r="F871" s="316"/>
      <c r="G871" s="316"/>
      <c r="H871" s="316"/>
      <c r="I871" s="316"/>
      <c r="J871" s="316"/>
      <c r="K871" s="316"/>
    </row>
    <row r="872" spans="1:11" hidden="1" x14ac:dyDescent="0.2">
      <c r="A872" s="316"/>
      <c r="B872" s="316"/>
      <c r="C872" s="316"/>
      <c r="D872" s="316"/>
      <c r="E872" s="316"/>
      <c r="F872" s="316"/>
      <c r="G872" s="316"/>
      <c r="H872" s="316"/>
      <c r="I872" s="316"/>
      <c r="J872" s="316"/>
      <c r="K872" s="316"/>
    </row>
    <row r="873" spans="1:11" hidden="1" x14ac:dyDescent="0.2">
      <c r="A873" s="316"/>
      <c r="B873" s="316"/>
      <c r="C873" s="316"/>
      <c r="D873" s="316"/>
      <c r="E873" s="316"/>
      <c r="F873" s="316"/>
      <c r="G873" s="316"/>
      <c r="H873" s="316"/>
      <c r="I873" s="316"/>
      <c r="J873" s="316"/>
      <c r="K873" s="316"/>
    </row>
    <row r="874" spans="1:11" hidden="1" x14ac:dyDescent="0.2">
      <c r="A874" s="316"/>
      <c r="B874" s="316"/>
      <c r="C874" s="316"/>
      <c r="D874" s="316"/>
      <c r="E874" s="316"/>
      <c r="F874" s="316"/>
      <c r="G874" s="316"/>
      <c r="H874" s="316"/>
      <c r="I874" s="316"/>
      <c r="J874" s="316"/>
      <c r="K874" s="316"/>
    </row>
    <row r="875" spans="1:11" hidden="1" x14ac:dyDescent="0.2">
      <c r="A875" s="316"/>
      <c r="B875" s="316"/>
      <c r="C875" s="316"/>
      <c r="D875" s="316"/>
      <c r="E875" s="316"/>
      <c r="F875" s="316"/>
      <c r="G875" s="316"/>
      <c r="H875" s="316"/>
      <c r="I875" s="316"/>
      <c r="J875" s="316"/>
      <c r="K875" s="316"/>
    </row>
    <row r="876" spans="1:11" hidden="1" x14ac:dyDescent="0.2">
      <c r="A876" s="316"/>
      <c r="B876" s="316"/>
      <c r="C876" s="316"/>
      <c r="D876" s="316"/>
      <c r="E876" s="316"/>
      <c r="F876" s="316"/>
      <c r="G876" s="316"/>
      <c r="H876" s="316"/>
      <c r="I876" s="316"/>
      <c r="J876" s="316"/>
      <c r="K876" s="316"/>
    </row>
    <row r="877" spans="1:11" hidden="1" x14ac:dyDescent="0.2">
      <c r="A877" s="316"/>
      <c r="B877" s="316"/>
      <c r="C877" s="316"/>
      <c r="D877" s="316"/>
      <c r="E877" s="316"/>
      <c r="F877" s="316"/>
      <c r="G877" s="316"/>
      <c r="H877" s="316"/>
      <c r="I877" s="316"/>
      <c r="J877" s="316"/>
      <c r="K877" s="316"/>
    </row>
    <row r="878" spans="1:11" hidden="1" x14ac:dyDescent="0.2">
      <c r="A878" s="316"/>
      <c r="B878" s="316"/>
      <c r="C878" s="316"/>
      <c r="D878" s="316"/>
      <c r="E878" s="316"/>
      <c r="F878" s="316"/>
      <c r="G878" s="316"/>
      <c r="H878" s="316"/>
      <c r="I878" s="316"/>
      <c r="J878" s="316"/>
      <c r="K878" s="316"/>
    </row>
    <row r="879" spans="1:11" hidden="1" x14ac:dyDescent="0.2">
      <c r="A879" s="316"/>
      <c r="B879" s="316"/>
      <c r="C879" s="316"/>
      <c r="D879" s="316"/>
      <c r="E879" s="316"/>
      <c r="F879" s="316"/>
      <c r="G879" s="316"/>
      <c r="H879" s="316"/>
      <c r="I879" s="316"/>
      <c r="J879" s="316"/>
      <c r="K879" s="316"/>
    </row>
    <row r="880" spans="1:11" hidden="1" x14ac:dyDescent="0.2">
      <c r="A880" s="316"/>
      <c r="B880" s="316"/>
      <c r="C880" s="316"/>
      <c r="D880" s="316"/>
      <c r="E880" s="316"/>
      <c r="F880" s="316"/>
      <c r="G880" s="316"/>
      <c r="H880" s="316"/>
      <c r="I880" s="316"/>
      <c r="J880" s="316"/>
      <c r="K880" s="316"/>
    </row>
    <row r="881" spans="1:11" hidden="1" x14ac:dyDescent="0.2">
      <c r="A881" s="316"/>
      <c r="B881" s="316"/>
      <c r="C881" s="316"/>
      <c r="D881" s="316"/>
      <c r="E881" s="316"/>
      <c r="F881" s="316"/>
      <c r="G881" s="316"/>
      <c r="H881" s="316"/>
      <c r="I881" s="316"/>
      <c r="J881" s="316"/>
      <c r="K881" s="316"/>
    </row>
    <row r="882" spans="1:11" hidden="1" x14ac:dyDescent="0.2">
      <c r="A882" s="316"/>
      <c r="B882" s="316"/>
      <c r="C882" s="316"/>
      <c r="D882" s="316"/>
      <c r="E882" s="316"/>
      <c r="F882" s="316"/>
      <c r="G882" s="316"/>
      <c r="H882" s="316"/>
      <c r="I882" s="316"/>
      <c r="J882" s="316"/>
      <c r="K882" s="316"/>
    </row>
    <row r="883" spans="1:11" hidden="1" x14ac:dyDescent="0.2">
      <c r="A883" s="316"/>
      <c r="B883" s="316"/>
      <c r="C883" s="316"/>
      <c r="D883" s="316"/>
      <c r="E883" s="316"/>
      <c r="F883" s="316"/>
      <c r="G883" s="316"/>
      <c r="H883" s="316"/>
      <c r="I883" s="316"/>
      <c r="J883" s="316"/>
      <c r="K883" s="316"/>
    </row>
    <row r="884" spans="1:11" hidden="1" x14ac:dyDescent="0.2">
      <c r="A884" s="316"/>
      <c r="B884" s="316"/>
      <c r="C884" s="316"/>
      <c r="D884" s="316"/>
      <c r="E884" s="316"/>
      <c r="F884" s="316"/>
      <c r="G884" s="316"/>
      <c r="H884" s="316"/>
      <c r="I884" s="316"/>
      <c r="J884" s="316"/>
      <c r="K884" s="316"/>
    </row>
    <row r="885" spans="1:11" hidden="1" x14ac:dyDescent="0.2">
      <c r="A885" s="316"/>
      <c r="B885" s="316"/>
      <c r="C885" s="316"/>
      <c r="D885" s="316"/>
      <c r="E885" s="316"/>
      <c r="F885" s="316"/>
      <c r="G885" s="316"/>
      <c r="H885" s="316"/>
      <c r="I885" s="316"/>
      <c r="J885" s="316"/>
      <c r="K885" s="316"/>
    </row>
    <row r="886" spans="1:11" hidden="1" x14ac:dyDescent="0.2">
      <c r="A886" s="316"/>
      <c r="B886" s="316"/>
      <c r="C886" s="316"/>
      <c r="D886" s="316"/>
      <c r="E886" s="316"/>
      <c r="F886" s="316"/>
      <c r="G886" s="316"/>
      <c r="H886" s="316"/>
      <c r="I886" s="316"/>
      <c r="J886" s="316"/>
      <c r="K886" s="316"/>
    </row>
    <row r="887" spans="1:11" hidden="1" x14ac:dyDescent="0.2">
      <c r="A887" s="316"/>
      <c r="B887" s="316"/>
      <c r="C887" s="316"/>
      <c r="D887" s="316"/>
      <c r="E887" s="316"/>
      <c r="F887" s="316"/>
      <c r="G887" s="316"/>
      <c r="H887" s="316"/>
      <c r="I887" s="316"/>
      <c r="J887" s="316"/>
      <c r="K887" s="316"/>
    </row>
    <row r="888" spans="1:11" hidden="1" x14ac:dyDescent="0.2">
      <c r="A888" s="316"/>
      <c r="B888" s="316"/>
      <c r="C888" s="316"/>
      <c r="D888" s="316"/>
      <c r="E888" s="316"/>
      <c r="F888" s="316"/>
      <c r="G888" s="316"/>
      <c r="H888" s="316"/>
      <c r="I888" s="316"/>
      <c r="J888" s="316"/>
      <c r="K888" s="316"/>
    </row>
    <row r="889" spans="1:11" hidden="1" x14ac:dyDescent="0.2">
      <c r="A889" s="316"/>
      <c r="B889" s="316"/>
      <c r="C889" s="316"/>
      <c r="D889" s="316"/>
      <c r="E889" s="316"/>
      <c r="F889" s="316"/>
      <c r="G889" s="316"/>
      <c r="H889" s="316"/>
      <c r="I889" s="316"/>
      <c r="J889" s="316"/>
      <c r="K889" s="316"/>
    </row>
    <row r="890" spans="1:11" hidden="1" x14ac:dyDescent="0.2">
      <c r="A890" s="316"/>
      <c r="B890" s="316"/>
      <c r="C890" s="316"/>
      <c r="D890" s="316"/>
      <c r="E890" s="316"/>
      <c r="F890" s="316"/>
      <c r="G890" s="316"/>
      <c r="H890" s="316"/>
      <c r="I890" s="316"/>
      <c r="J890" s="316"/>
      <c r="K890" s="316"/>
    </row>
    <row r="891" spans="1:11" hidden="1" x14ac:dyDescent="0.2">
      <c r="A891" s="316"/>
      <c r="B891" s="316"/>
      <c r="C891" s="316"/>
      <c r="D891" s="316"/>
      <c r="E891" s="316"/>
      <c r="F891" s="316"/>
      <c r="G891" s="316"/>
      <c r="H891" s="316"/>
      <c r="I891" s="316"/>
      <c r="J891" s="316"/>
      <c r="K891" s="316"/>
    </row>
    <row r="892" spans="1:11" hidden="1" x14ac:dyDescent="0.2">
      <c r="A892" s="316"/>
      <c r="B892" s="316"/>
      <c r="C892" s="316"/>
      <c r="D892" s="316"/>
      <c r="E892" s="316"/>
      <c r="F892" s="316"/>
      <c r="G892" s="316"/>
      <c r="H892" s="316"/>
      <c r="I892" s="316"/>
      <c r="J892" s="316"/>
      <c r="K892" s="316"/>
    </row>
    <row r="893" spans="1:11" hidden="1" x14ac:dyDescent="0.2">
      <c r="A893" s="316"/>
      <c r="B893" s="316"/>
      <c r="C893" s="316"/>
      <c r="D893" s="316"/>
      <c r="E893" s="316"/>
      <c r="F893" s="316"/>
      <c r="G893" s="316"/>
      <c r="H893" s="316"/>
      <c r="I893" s="316"/>
      <c r="J893" s="316"/>
      <c r="K893" s="316"/>
    </row>
    <row r="894" spans="1:11" hidden="1" x14ac:dyDescent="0.2">
      <c r="A894" s="316"/>
      <c r="B894" s="316"/>
      <c r="C894" s="316"/>
      <c r="D894" s="316"/>
      <c r="E894" s="316"/>
      <c r="F894" s="316"/>
      <c r="G894" s="316"/>
      <c r="H894" s="316"/>
      <c r="I894" s="316"/>
      <c r="J894" s="316"/>
      <c r="K894" s="316"/>
    </row>
    <row r="895" spans="1:11" hidden="1" x14ac:dyDescent="0.2">
      <c r="A895" s="316"/>
      <c r="B895" s="316"/>
      <c r="C895" s="316"/>
      <c r="D895" s="316"/>
      <c r="E895" s="316"/>
      <c r="F895" s="316"/>
      <c r="G895" s="316"/>
      <c r="H895" s="316"/>
      <c r="I895" s="316"/>
      <c r="J895" s="316"/>
      <c r="K895" s="316"/>
    </row>
    <row r="896" spans="1:11" hidden="1" x14ac:dyDescent="0.2">
      <c r="A896" s="316"/>
      <c r="B896" s="316"/>
      <c r="C896" s="316"/>
      <c r="D896" s="316"/>
      <c r="E896" s="316"/>
      <c r="F896" s="316"/>
      <c r="G896" s="316"/>
      <c r="H896" s="316"/>
      <c r="I896" s="316"/>
      <c r="J896" s="316"/>
      <c r="K896" s="316"/>
    </row>
    <row r="897" spans="1:11" hidden="1" x14ac:dyDescent="0.2">
      <c r="A897" s="316"/>
      <c r="B897" s="316"/>
      <c r="C897" s="316"/>
      <c r="D897" s="316"/>
      <c r="E897" s="316"/>
      <c r="F897" s="316"/>
      <c r="G897" s="316"/>
      <c r="H897" s="316"/>
      <c r="I897" s="316"/>
      <c r="J897" s="316"/>
      <c r="K897" s="316"/>
    </row>
    <row r="898" spans="1:11" hidden="1" x14ac:dyDescent="0.2">
      <c r="A898" s="316"/>
      <c r="B898" s="316"/>
      <c r="C898" s="316"/>
      <c r="D898" s="316"/>
      <c r="E898" s="316"/>
      <c r="F898" s="316"/>
      <c r="G898" s="316"/>
      <c r="H898" s="316"/>
      <c r="I898" s="316"/>
      <c r="J898" s="316"/>
      <c r="K898" s="316"/>
    </row>
    <row r="899" spans="1:11" hidden="1" x14ac:dyDescent="0.2">
      <c r="A899" s="316"/>
      <c r="B899" s="316"/>
      <c r="C899" s="316"/>
      <c r="D899" s="316"/>
      <c r="E899" s="316"/>
      <c r="F899" s="316"/>
      <c r="G899" s="316"/>
      <c r="H899" s="316"/>
      <c r="I899" s="316"/>
      <c r="J899" s="316"/>
      <c r="K899" s="316"/>
    </row>
    <row r="900" spans="1:11" hidden="1" x14ac:dyDescent="0.2">
      <c r="A900" s="316"/>
      <c r="B900" s="316"/>
      <c r="C900" s="316"/>
      <c r="D900" s="316"/>
      <c r="E900" s="316"/>
      <c r="F900" s="316"/>
      <c r="G900" s="316"/>
      <c r="H900" s="316"/>
      <c r="I900" s="316"/>
      <c r="J900" s="316"/>
      <c r="K900" s="316"/>
    </row>
    <row r="901" spans="1:11" hidden="1" x14ac:dyDescent="0.2">
      <c r="A901" s="316"/>
      <c r="B901" s="316"/>
      <c r="C901" s="316"/>
      <c r="D901" s="316"/>
      <c r="E901" s="316"/>
      <c r="F901" s="316"/>
      <c r="G901" s="316"/>
      <c r="H901" s="316"/>
      <c r="I901" s="316"/>
      <c r="J901" s="316"/>
      <c r="K901" s="316"/>
    </row>
    <row r="902" spans="1:11" hidden="1" x14ac:dyDescent="0.2">
      <c r="A902" s="316"/>
      <c r="B902" s="316"/>
      <c r="C902" s="316"/>
      <c r="D902" s="316"/>
      <c r="E902" s="316"/>
      <c r="F902" s="316"/>
      <c r="G902" s="316"/>
      <c r="H902" s="316"/>
      <c r="I902" s="316"/>
      <c r="J902" s="316"/>
      <c r="K902" s="316"/>
    </row>
    <row r="903" spans="1:11" hidden="1" x14ac:dyDescent="0.2">
      <c r="A903" s="316"/>
      <c r="B903" s="316"/>
      <c r="C903" s="316"/>
      <c r="D903" s="316"/>
      <c r="E903" s="316"/>
      <c r="F903" s="316"/>
      <c r="G903" s="316"/>
      <c r="H903" s="316"/>
      <c r="I903" s="316"/>
      <c r="J903" s="316"/>
      <c r="K903" s="316"/>
    </row>
    <row r="904" spans="1:11" hidden="1" x14ac:dyDescent="0.2">
      <c r="A904" s="316"/>
      <c r="B904" s="316"/>
      <c r="C904" s="316"/>
      <c r="D904" s="316"/>
      <c r="E904" s="316"/>
      <c r="F904" s="316"/>
      <c r="G904" s="316"/>
      <c r="H904" s="316"/>
      <c r="I904" s="316"/>
      <c r="J904" s="316"/>
      <c r="K904" s="316"/>
    </row>
    <row r="905" spans="1:11" hidden="1" x14ac:dyDescent="0.2">
      <c r="A905" s="316"/>
      <c r="B905" s="316"/>
      <c r="C905" s="316"/>
      <c r="D905" s="316"/>
      <c r="E905" s="316"/>
      <c r="F905" s="316"/>
      <c r="G905" s="316"/>
      <c r="H905" s="316"/>
      <c r="I905" s="316"/>
      <c r="J905" s="316"/>
      <c r="K905" s="316"/>
    </row>
    <row r="906" spans="1:11" hidden="1" x14ac:dyDescent="0.2">
      <c r="A906" s="316"/>
      <c r="B906" s="316"/>
      <c r="C906" s="316"/>
      <c r="D906" s="316"/>
      <c r="E906" s="316"/>
      <c r="F906" s="316"/>
      <c r="G906" s="316"/>
      <c r="H906" s="316"/>
      <c r="I906" s="316"/>
      <c r="J906" s="316"/>
      <c r="K906" s="316"/>
    </row>
    <row r="907" spans="1:11" hidden="1" x14ac:dyDescent="0.2">
      <c r="A907" s="316"/>
      <c r="B907" s="316"/>
      <c r="C907" s="316"/>
      <c r="D907" s="316"/>
      <c r="E907" s="316"/>
      <c r="F907" s="316"/>
      <c r="G907" s="316"/>
      <c r="H907" s="316"/>
      <c r="I907" s="316"/>
      <c r="J907" s="316"/>
      <c r="K907" s="316"/>
    </row>
    <row r="908" spans="1:11" hidden="1" x14ac:dyDescent="0.2">
      <c r="A908" s="316"/>
      <c r="B908" s="316"/>
      <c r="C908" s="316"/>
      <c r="D908" s="316"/>
      <c r="E908" s="316"/>
      <c r="F908" s="316"/>
      <c r="G908" s="316"/>
      <c r="H908" s="316"/>
      <c r="I908" s="316"/>
      <c r="J908" s="316"/>
      <c r="K908" s="316"/>
    </row>
    <row r="909" spans="1:11" hidden="1" x14ac:dyDescent="0.2">
      <c r="A909" s="316"/>
      <c r="B909" s="316"/>
      <c r="C909" s="316"/>
      <c r="D909" s="316"/>
      <c r="E909" s="316"/>
      <c r="F909" s="316"/>
      <c r="G909" s="316"/>
      <c r="H909" s="316"/>
      <c r="I909" s="316"/>
      <c r="J909" s="316"/>
      <c r="K909" s="316"/>
    </row>
    <row r="910" spans="1:11" hidden="1" x14ac:dyDescent="0.2">
      <c r="A910" s="316"/>
      <c r="B910" s="316"/>
      <c r="C910" s="316"/>
      <c r="D910" s="316"/>
      <c r="E910" s="316"/>
      <c r="F910" s="316"/>
      <c r="G910" s="316"/>
      <c r="H910" s="316"/>
      <c r="I910" s="316"/>
      <c r="J910" s="316"/>
      <c r="K910" s="316"/>
    </row>
    <row r="911" spans="1:11" hidden="1" x14ac:dyDescent="0.2">
      <c r="A911" s="316"/>
      <c r="B911" s="316"/>
      <c r="C911" s="316"/>
      <c r="D911" s="316"/>
      <c r="E911" s="316"/>
      <c r="F911" s="316"/>
      <c r="G911" s="316"/>
      <c r="H911" s="316"/>
      <c r="I911" s="316"/>
      <c r="J911" s="316"/>
      <c r="K911" s="316"/>
    </row>
    <row r="912" spans="1:11" hidden="1" x14ac:dyDescent="0.2">
      <c r="A912" s="316"/>
      <c r="B912" s="316"/>
      <c r="C912" s="316"/>
      <c r="D912" s="316"/>
      <c r="E912" s="316"/>
      <c r="F912" s="316"/>
      <c r="G912" s="316"/>
      <c r="H912" s="316"/>
      <c r="I912" s="316"/>
      <c r="J912" s="316"/>
      <c r="K912" s="316"/>
    </row>
    <row r="913" spans="1:11" hidden="1" x14ac:dyDescent="0.2">
      <c r="A913" s="316"/>
      <c r="B913" s="316"/>
      <c r="C913" s="316"/>
      <c r="D913" s="316"/>
      <c r="E913" s="316"/>
      <c r="F913" s="316"/>
      <c r="G913" s="316"/>
      <c r="H913" s="316"/>
      <c r="I913" s="316"/>
      <c r="J913" s="316"/>
      <c r="K913" s="316"/>
    </row>
    <row r="914" spans="1:11" hidden="1" x14ac:dyDescent="0.2">
      <c r="A914" s="316"/>
      <c r="B914" s="316"/>
      <c r="C914" s="316"/>
      <c r="D914" s="316"/>
      <c r="E914" s="316"/>
      <c r="F914" s="316"/>
      <c r="G914" s="316"/>
      <c r="H914" s="316"/>
      <c r="I914" s="316"/>
      <c r="J914" s="316"/>
      <c r="K914" s="316"/>
    </row>
    <row r="915" spans="1:11" hidden="1" x14ac:dyDescent="0.2">
      <c r="A915" s="316"/>
      <c r="B915" s="316"/>
      <c r="C915" s="316"/>
      <c r="D915" s="316"/>
      <c r="E915" s="316"/>
      <c r="F915" s="316"/>
      <c r="G915" s="316"/>
      <c r="H915" s="316"/>
      <c r="I915" s="316"/>
      <c r="J915" s="316"/>
      <c r="K915" s="316"/>
    </row>
    <row r="916" spans="1:11" hidden="1" x14ac:dyDescent="0.2">
      <c r="A916" s="316"/>
      <c r="B916" s="316"/>
      <c r="C916" s="316"/>
      <c r="D916" s="316"/>
      <c r="E916" s="316"/>
      <c r="F916" s="316"/>
      <c r="G916" s="316"/>
      <c r="H916" s="316"/>
      <c r="I916" s="316"/>
      <c r="J916" s="316"/>
      <c r="K916" s="316"/>
    </row>
    <row r="917" spans="1:11" hidden="1" x14ac:dyDescent="0.2">
      <c r="A917" s="316"/>
      <c r="B917" s="316"/>
      <c r="C917" s="316"/>
      <c r="D917" s="316"/>
      <c r="E917" s="316"/>
      <c r="F917" s="316"/>
      <c r="G917" s="316"/>
      <c r="H917" s="316"/>
      <c r="I917" s="316"/>
      <c r="J917" s="316"/>
      <c r="K917" s="316"/>
    </row>
    <row r="918" spans="1:11" hidden="1" x14ac:dyDescent="0.2">
      <c r="A918" s="316"/>
      <c r="B918" s="316"/>
      <c r="C918" s="316"/>
      <c r="D918" s="316"/>
      <c r="E918" s="316"/>
      <c r="F918" s="316"/>
      <c r="G918" s="316"/>
      <c r="H918" s="316"/>
      <c r="I918" s="316"/>
      <c r="J918" s="316"/>
      <c r="K918" s="316"/>
    </row>
    <row r="919" spans="1:11" hidden="1" x14ac:dyDescent="0.2">
      <c r="A919" s="316"/>
      <c r="B919" s="316"/>
      <c r="C919" s="316"/>
      <c r="D919" s="316"/>
      <c r="E919" s="316"/>
      <c r="F919" s="316"/>
      <c r="G919" s="316"/>
      <c r="H919" s="316"/>
      <c r="I919" s="316"/>
      <c r="J919" s="316"/>
      <c r="K919" s="316"/>
    </row>
    <row r="920" spans="1:11" hidden="1" x14ac:dyDescent="0.2">
      <c r="A920" s="316"/>
      <c r="B920" s="316"/>
      <c r="C920" s="316"/>
      <c r="D920" s="316"/>
      <c r="E920" s="316"/>
      <c r="F920" s="316"/>
      <c r="G920" s="316"/>
      <c r="H920" s="316"/>
      <c r="I920" s="316"/>
      <c r="J920" s="316"/>
      <c r="K920" s="316"/>
    </row>
    <row r="921" spans="1:11" hidden="1" x14ac:dyDescent="0.2">
      <c r="A921" s="316"/>
      <c r="B921" s="316"/>
      <c r="C921" s="316"/>
      <c r="D921" s="316"/>
      <c r="E921" s="316"/>
      <c r="F921" s="316"/>
      <c r="G921" s="316"/>
      <c r="H921" s="316"/>
      <c r="I921" s="316"/>
      <c r="J921" s="316"/>
      <c r="K921" s="316"/>
    </row>
    <row r="922" spans="1:11" hidden="1" x14ac:dyDescent="0.2">
      <c r="A922" s="316"/>
      <c r="B922" s="316"/>
      <c r="C922" s="316"/>
      <c r="D922" s="316"/>
      <c r="E922" s="316"/>
      <c r="F922" s="316"/>
      <c r="G922" s="316"/>
      <c r="H922" s="316"/>
      <c r="I922" s="316"/>
      <c r="J922" s="316"/>
      <c r="K922" s="316"/>
    </row>
    <row r="923" spans="1:11" hidden="1" x14ac:dyDescent="0.2">
      <c r="A923" s="316"/>
      <c r="B923" s="316"/>
      <c r="C923" s="316"/>
      <c r="D923" s="316"/>
      <c r="E923" s="316"/>
      <c r="F923" s="316"/>
      <c r="G923" s="316"/>
      <c r="H923" s="316"/>
      <c r="I923" s="316"/>
      <c r="J923" s="316"/>
      <c r="K923" s="316"/>
    </row>
    <row r="924" spans="1:11" hidden="1" x14ac:dyDescent="0.2">
      <c r="A924" s="316"/>
      <c r="B924" s="316"/>
      <c r="C924" s="316"/>
      <c r="D924" s="316"/>
      <c r="E924" s="316"/>
      <c r="F924" s="316"/>
      <c r="G924" s="316"/>
      <c r="H924" s="316"/>
      <c r="I924" s="316"/>
      <c r="J924" s="316"/>
      <c r="K924" s="316"/>
    </row>
    <row r="925" spans="1:11" hidden="1" x14ac:dyDescent="0.2">
      <c r="A925" s="316"/>
      <c r="B925" s="316"/>
      <c r="C925" s="316"/>
      <c r="D925" s="316"/>
      <c r="E925" s="316"/>
      <c r="F925" s="316"/>
      <c r="G925" s="316"/>
      <c r="H925" s="316"/>
      <c r="I925" s="316"/>
      <c r="J925" s="316"/>
      <c r="K925" s="316"/>
    </row>
    <row r="926" spans="1:11" hidden="1" x14ac:dyDescent="0.2">
      <c r="A926" s="316"/>
      <c r="B926" s="316"/>
      <c r="C926" s="316"/>
      <c r="D926" s="316"/>
      <c r="E926" s="316"/>
      <c r="F926" s="316"/>
      <c r="G926" s="316"/>
      <c r="H926" s="316"/>
      <c r="I926" s="316"/>
      <c r="J926" s="316"/>
      <c r="K926" s="316"/>
    </row>
    <row r="927" spans="1:11" hidden="1" x14ac:dyDescent="0.2">
      <c r="A927" s="316"/>
      <c r="B927" s="316"/>
      <c r="C927" s="316"/>
      <c r="D927" s="316"/>
      <c r="E927" s="316"/>
      <c r="F927" s="316"/>
      <c r="G927" s="316"/>
      <c r="H927" s="316"/>
      <c r="I927" s="316"/>
      <c r="J927" s="316"/>
      <c r="K927" s="316"/>
    </row>
    <row r="928" spans="1:11" hidden="1" x14ac:dyDescent="0.2">
      <c r="A928" s="316"/>
      <c r="B928" s="316"/>
      <c r="C928" s="316"/>
      <c r="D928" s="316"/>
      <c r="E928" s="316"/>
      <c r="F928" s="316"/>
      <c r="G928" s="316"/>
      <c r="H928" s="316"/>
      <c r="I928" s="316"/>
      <c r="J928" s="316"/>
      <c r="K928" s="316"/>
    </row>
    <row r="929" spans="1:11" hidden="1" x14ac:dyDescent="0.2">
      <c r="A929" s="316"/>
      <c r="B929" s="316"/>
      <c r="C929" s="316"/>
      <c r="D929" s="316"/>
      <c r="E929" s="316"/>
      <c r="F929" s="316"/>
      <c r="G929" s="316"/>
      <c r="H929" s="316"/>
      <c r="I929" s="316"/>
      <c r="J929" s="316"/>
      <c r="K929" s="316"/>
    </row>
    <row r="930" spans="1:11" hidden="1" x14ac:dyDescent="0.2">
      <c r="A930" s="316"/>
      <c r="B930" s="316"/>
      <c r="C930" s="316"/>
      <c r="D930" s="316"/>
      <c r="E930" s="316"/>
      <c r="F930" s="316"/>
      <c r="G930" s="316"/>
      <c r="H930" s="316"/>
      <c r="I930" s="316"/>
      <c r="J930" s="316"/>
      <c r="K930" s="316"/>
    </row>
    <row r="931" spans="1:11" hidden="1" x14ac:dyDescent="0.2">
      <c r="A931" s="316"/>
      <c r="B931" s="316"/>
      <c r="C931" s="316"/>
      <c r="D931" s="316"/>
      <c r="E931" s="316"/>
      <c r="F931" s="316"/>
      <c r="G931" s="316"/>
      <c r="H931" s="316"/>
      <c r="I931" s="316"/>
      <c r="J931" s="316"/>
      <c r="K931" s="316"/>
    </row>
    <row r="932" spans="1:11" hidden="1" x14ac:dyDescent="0.2">
      <c r="A932" s="316"/>
      <c r="B932" s="316"/>
      <c r="C932" s="316"/>
      <c r="D932" s="316"/>
      <c r="E932" s="316"/>
      <c r="F932" s="316"/>
      <c r="G932" s="316"/>
      <c r="H932" s="316"/>
      <c r="I932" s="316"/>
      <c r="J932" s="316"/>
      <c r="K932" s="316"/>
    </row>
    <row r="933" spans="1:11" hidden="1" x14ac:dyDescent="0.2">
      <c r="A933" s="316"/>
      <c r="B933" s="316"/>
      <c r="C933" s="316"/>
      <c r="D933" s="316"/>
      <c r="E933" s="316"/>
      <c r="F933" s="316"/>
      <c r="G933" s="316"/>
      <c r="H933" s="316"/>
      <c r="I933" s="316"/>
      <c r="J933" s="316"/>
      <c r="K933" s="316"/>
    </row>
    <row r="934" spans="1:11" hidden="1" x14ac:dyDescent="0.2">
      <c r="A934" s="316"/>
      <c r="B934" s="316"/>
      <c r="C934" s="316"/>
      <c r="D934" s="316"/>
      <c r="E934" s="316"/>
      <c r="F934" s="316"/>
      <c r="G934" s="316"/>
      <c r="H934" s="316"/>
      <c r="I934" s="316"/>
      <c r="J934" s="316"/>
      <c r="K934" s="316"/>
    </row>
    <row r="935" spans="1:11" hidden="1" x14ac:dyDescent="0.2">
      <c r="A935" s="316"/>
      <c r="B935" s="316"/>
      <c r="C935" s="316"/>
      <c r="D935" s="316"/>
      <c r="E935" s="316"/>
      <c r="F935" s="316"/>
      <c r="G935" s="316"/>
      <c r="H935" s="316"/>
      <c r="I935" s="316"/>
      <c r="J935" s="316"/>
      <c r="K935" s="316"/>
    </row>
    <row r="936" spans="1:11" hidden="1" x14ac:dyDescent="0.2">
      <c r="A936" s="316"/>
      <c r="B936" s="316"/>
      <c r="C936" s="316"/>
      <c r="D936" s="316"/>
      <c r="E936" s="316"/>
      <c r="F936" s="316"/>
      <c r="G936" s="316"/>
      <c r="H936" s="316"/>
      <c r="I936" s="316"/>
      <c r="J936" s="316"/>
      <c r="K936" s="316"/>
    </row>
    <row r="937" spans="1:11" hidden="1" x14ac:dyDescent="0.2">
      <c r="A937" s="316"/>
      <c r="B937" s="316"/>
      <c r="C937" s="316"/>
      <c r="D937" s="316"/>
      <c r="E937" s="316"/>
      <c r="F937" s="316"/>
      <c r="G937" s="316"/>
      <c r="H937" s="316"/>
      <c r="I937" s="316"/>
      <c r="J937" s="316"/>
      <c r="K937" s="316"/>
    </row>
    <row r="938" spans="1:11" hidden="1" x14ac:dyDescent="0.2">
      <c r="A938" s="316"/>
      <c r="B938" s="316"/>
      <c r="C938" s="316"/>
      <c r="D938" s="316"/>
      <c r="E938" s="316"/>
      <c r="F938" s="316"/>
      <c r="G938" s="316"/>
      <c r="H938" s="316"/>
      <c r="I938" s="316"/>
      <c r="J938" s="316"/>
      <c r="K938" s="316"/>
    </row>
    <row r="939" spans="1:11" hidden="1" x14ac:dyDescent="0.2">
      <c r="A939" s="316"/>
      <c r="B939" s="316"/>
      <c r="C939" s="316"/>
      <c r="D939" s="316"/>
      <c r="E939" s="316"/>
      <c r="F939" s="316"/>
      <c r="G939" s="316"/>
      <c r="H939" s="316"/>
      <c r="I939" s="316"/>
      <c r="J939" s="316"/>
      <c r="K939" s="316"/>
    </row>
    <row r="940" spans="1:11" hidden="1" x14ac:dyDescent="0.2">
      <c r="A940" s="316"/>
      <c r="B940" s="316"/>
      <c r="C940" s="316"/>
      <c r="D940" s="316"/>
      <c r="E940" s="316"/>
      <c r="F940" s="316"/>
      <c r="G940" s="316"/>
      <c r="H940" s="316"/>
      <c r="I940" s="316"/>
      <c r="J940" s="316"/>
      <c r="K940" s="316"/>
    </row>
    <row r="941" spans="1:11" hidden="1" x14ac:dyDescent="0.2">
      <c r="A941" s="316"/>
      <c r="B941" s="316"/>
      <c r="C941" s="316"/>
      <c r="D941" s="316"/>
      <c r="E941" s="316"/>
      <c r="F941" s="316"/>
      <c r="G941" s="316"/>
      <c r="H941" s="316"/>
      <c r="I941" s="316"/>
      <c r="J941" s="316"/>
      <c r="K941" s="316"/>
    </row>
    <row r="942" spans="1:11" hidden="1" x14ac:dyDescent="0.2">
      <c r="A942" s="316"/>
      <c r="B942" s="316"/>
      <c r="C942" s="316"/>
      <c r="D942" s="316"/>
      <c r="E942" s="316"/>
      <c r="F942" s="316"/>
      <c r="G942" s="316"/>
      <c r="H942" s="316"/>
      <c r="I942" s="316"/>
      <c r="J942" s="316"/>
      <c r="K942" s="316"/>
    </row>
    <row r="943" spans="1:11" hidden="1" x14ac:dyDescent="0.2">
      <c r="A943" s="316"/>
      <c r="B943" s="316"/>
      <c r="C943" s="316"/>
      <c r="D943" s="316"/>
      <c r="E943" s="316"/>
      <c r="F943" s="316"/>
      <c r="G943" s="316"/>
      <c r="H943" s="316"/>
      <c r="I943" s="316"/>
      <c r="J943" s="316"/>
      <c r="K943" s="316"/>
    </row>
    <row r="944" spans="1:11" hidden="1" x14ac:dyDescent="0.2">
      <c r="A944" s="316"/>
      <c r="B944" s="316"/>
      <c r="C944" s="316"/>
      <c r="D944" s="316"/>
      <c r="E944" s="316"/>
      <c r="F944" s="316"/>
      <c r="G944" s="316"/>
      <c r="H944" s="316"/>
      <c r="I944" s="316"/>
      <c r="J944" s="316"/>
      <c r="K944" s="316"/>
    </row>
    <row r="945" spans="1:11" hidden="1" x14ac:dyDescent="0.2">
      <c r="A945" s="316"/>
      <c r="B945" s="316"/>
      <c r="C945" s="316"/>
      <c r="D945" s="316"/>
      <c r="E945" s="316"/>
      <c r="F945" s="316"/>
      <c r="G945" s="316"/>
      <c r="H945" s="316"/>
      <c r="I945" s="316"/>
      <c r="J945" s="316"/>
      <c r="K945" s="316"/>
    </row>
    <row r="946" spans="1:11" hidden="1" x14ac:dyDescent="0.2">
      <c r="A946" s="316"/>
      <c r="B946" s="316"/>
      <c r="C946" s="316"/>
      <c r="D946" s="316"/>
      <c r="E946" s="316"/>
      <c r="F946" s="316"/>
      <c r="G946" s="316"/>
      <c r="H946" s="316"/>
      <c r="I946" s="316"/>
      <c r="J946" s="316"/>
      <c r="K946" s="316"/>
    </row>
    <row r="947" spans="1:11" hidden="1" x14ac:dyDescent="0.2">
      <c r="A947" s="316"/>
      <c r="B947" s="316"/>
      <c r="C947" s="316"/>
      <c r="D947" s="316"/>
      <c r="E947" s="316"/>
      <c r="F947" s="316"/>
      <c r="G947" s="316"/>
      <c r="H947" s="316"/>
      <c r="I947" s="316"/>
      <c r="J947" s="316"/>
      <c r="K947" s="316"/>
    </row>
    <row r="948" spans="1:11" hidden="1" x14ac:dyDescent="0.2">
      <c r="A948" s="316"/>
      <c r="B948" s="316"/>
      <c r="C948" s="316"/>
      <c r="D948" s="316"/>
      <c r="E948" s="316"/>
      <c r="F948" s="316"/>
      <c r="G948" s="316"/>
      <c r="H948" s="316"/>
      <c r="I948" s="316"/>
      <c r="J948" s="316"/>
      <c r="K948" s="316"/>
    </row>
    <row r="949" spans="1:11" hidden="1" x14ac:dyDescent="0.2">
      <c r="A949" s="316"/>
      <c r="B949" s="316"/>
      <c r="C949" s="316"/>
      <c r="D949" s="316"/>
      <c r="E949" s="316"/>
      <c r="F949" s="316"/>
      <c r="G949" s="316"/>
      <c r="H949" s="316"/>
      <c r="I949" s="316"/>
      <c r="J949" s="316"/>
      <c r="K949" s="316"/>
    </row>
    <row r="950" spans="1:11" hidden="1" x14ac:dyDescent="0.2">
      <c r="A950" s="316"/>
      <c r="B950" s="316"/>
      <c r="C950" s="316"/>
      <c r="D950" s="316"/>
      <c r="E950" s="316"/>
      <c r="F950" s="316"/>
      <c r="G950" s="316"/>
      <c r="H950" s="316"/>
      <c r="I950" s="316"/>
      <c r="J950" s="316"/>
      <c r="K950" s="316"/>
    </row>
    <row r="951" spans="1:11" hidden="1" x14ac:dyDescent="0.2">
      <c r="A951" s="316"/>
      <c r="B951" s="316"/>
      <c r="C951" s="316"/>
      <c r="D951" s="316"/>
      <c r="E951" s="316"/>
      <c r="F951" s="316"/>
      <c r="G951" s="316"/>
      <c r="H951" s="316"/>
      <c r="I951" s="316"/>
      <c r="J951" s="316"/>
      <c r="K951" s="316"/>
    </row>
    <row r="952" spans="1:11" hidden="1" x14ac:dyDescent="0.2">
      <c r="A952" s="316"/>
      <c r="B952" s="316"/>
      <c r="C952" s="316"/>
      <c r="D952" s="316"/>
      <c r="E952" s="316"/>
      <c r="F952" s="316"/>
      <c r="G952" s="316"/>
      <c r="H952" s="316"/>
      <c r="I952" s="316"/>
      <c r="J952" s="316"/>
      <c r="K952" s="316"/>
    </row>
    <row r="953" spans="1:11" hidden="1" x14ac:dyDescent="0.2">
      <c r="A953" s="316"/>
      <c r="B953" s="316"/>
      <c r="C953" s="316"/>
      <c r="D953" s="316"/>
      <c r="E953" s="316"/>
      <c r="F953" s="316"/>
      <c r="G953" s="316"/>
      <c r="H953" s="316"/>
      <c r="I953" s="316"/>
      <c r="J953" s="316"/>
      <c r="K953" s="316"/>
    </row>
    <row r="954" spans="1:11" hidden="1" x14ac:dyDescent="0.2">
      <c r="A954" s="316"/>
      <c r="B954" s="316"/>
      <c r="C954" s="316"/>
      <c r="D954" s="316"/>
      <c r="E954" s="316"/>
      <c r="F954" s="316"/>
      <c r="G954" s="316"/>
      <c r="H954" s="316"/>
      <c r="I954" s="316"/>
      <c r="J954" s="316"/>
      <c r="K954" s="316"/>
    </row>
    <row r="955" spans="1:11" hidden="1" x14ac:dyDescent="0.2">
      <c r="A955" s="316"/>
      <c r="B955" s="316"/>
      <c r="C955" s="316"/>
      <c r="D955" s="316"/>
      <c r="E955" s="316"/>
      <c r="F955" s="316"/>
      <c r="G955" s="316"/>
      <c r="H955" s="316"/>
      <c r="I955" s="316"/>
      <c r="J955" s="316"/>
      <c r="K955" s="316"/>
    </row>
    <row r="956" spans="1:11" hidden="1" x14ac:dyDescent="0.2">
      <c r="A956" s="316"/>
      <c r="B956" s="316"/>
      <c r="C956" s="316"/>
      <c r="D956" s="316"/>
      <c r="E956" s="316"/>
      <c r="F956" s="316"/>
      <c r="G956" s="316"/>
      <c r="H956" s="316"/>
      <c r="I956" s="316"/>
      <c r="J956" s="316"/>
      <c r="K956" s="316"/>
    </row>
    <row r="957" spans="1:11" hidden="1" x14ac:dyDescent="0.2">
      <c r="A957" s="316"/>
      <c r="B957" s="316"/>
      <c r="C957" s="316"/>
      <c r="D957" s="316"/>
      <c r="E957" s="316"/>
      <c r="F957" s="316"/>
      <c r="G957" s="316"/>
      <c r="H957" s="316"/>
      <c r="I957" s="316"/>
      <c r="J957" s="316"/>
      <c r="K957" s="316"/>
    </row>
    <row r="958" spans="1:11" hidden="1" x14ac:dyDescent="0.2">
      <c r="A958" s="316"/>
      <c r="B958" s="316"/>
      <c r="C958" s="316"/>
      <c r="D958" s="316"/>
      <c r="E958" s="316"/>
      <c r="F958" s="316"/>
      <c r="G958" s="316"/>
      <c r="H958" s="316"/>
      <c r="I958" s="316"/>
      <c r="J958" s="316"/>
      <c r="K958" s="316"/>
    </row>
    <row r="959" spans="1:11" hidden="1" x14ac:dyDescent="0.2">
      <c r="A959" s="316"/>
      <c r="B959" s="316"/>
      <c r="C959" s="316"/>
      <c r="D959" s="316"/>
      <c r="E959" s="316"/>
      <c r="F959" s="316"/>
      <c r="G959" s="316"/>
      <c r="H959" s="316"/>
      <c r="I959" s="316"/>
      <c r="J959" s="316"/>
      <c r="K959" s="316"/>
    </row>
    <row r="960" spans="1:11" hidden="1" x14ac:dyDescent="0.2">
      <c r="A960" s="316"/>
      <c r="B960" s="316"/>
      <c r="C960" s="316"/>
      <c r="D960" s="316"/>
      <c r="E960" s="316"/>
      <c r="F960" s="316"/>
      <c r="G960" s="316"/>
      <c r="H960" s="316"/>
      <c r="I960" s="316"/>
      <c r="J960" s="316"/>
      <c r="K960" s="316"/>
    </row>
    <row r="961" spans="1:11" hidden="1" x14ac:dyDescent="0.2">
      <c r="A961" s="316"/>
      <c r="B961" s="316"/>
      <c r="C961" s="316"/>
      <c r="D961" s="316"/>
      <c r="E961" s="316"/>
      <c r="F961" s="316"/>
      <c r="G961" s="316"/>
      <c r="H961" s="316"/>
      <c r="I961" s="316"/>
      <c r="J961" s="316"/>
      <c r="K961" s="316"/>
    </row>
    <row r="962" spans="1:11" hidden="1" x14ac:dyDescent="0.2">
      <c r="A962" s="316"/>
      <c r="B962" s="316"/>
      <c r="C962" s="316"/>
      <c r="D962" s="316"/>
      <c r="E962" s="316"/>
      <c r="F962" s="316"/>
      <c r="G962" s="316"/>
      <c r="H962" s="316"/>
      <c r="I962" s="316"/>
      <c r="J962" s="316"/>
      <c r="K962" s="316"/>
    </row>
  </sheetData>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mail@sven-wende.de</cp:lastModifiedBy>
  <dcterms:modified xsi:type="dcterms:W3CDTF">2026-10-12T10:45:30Z</dcterms:modified>
</cp:coreProperties>
</file>